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!PanD\Oferty\Projek Niepolomice Andrzej Mazik\"/>
    </mc:Choice>
  </mc:AlternateContent>
  <xr:revisionPtr revIDLastSave="0" documentId="13_ncr:1_{FE043FA6-E10F-49C6-B75E-2264E03D51C3}" xr6:coauthVersionLast="41" xr6:coauthVersionMax="41" xr10:uidLastSave="{00000000-0000-0000-0000-000000000000}"/>
  <bookViews>
    <workbookView xWindow="20370" yWindow="-120" windowWidth="19440" windowHeight="15150" activeTab="5" xr2:uid="{00000000-000D-0000-FFFF-FFFF00000000}"/>
  </bookViews>
  <sheets>
    <sheet name="Dolne źródło" sheetId="1" r:id="rId1"/>
    <sheet name="CWU 390" sheetId="2" r:id="rId2"/>
    <sheet name="CWU 300" sheetId="4" r:id="rId3"/>
    <sheet name="CO z buforem" sheetId="3" r:id="rId4"/>
    <sheet name="CO bez bufora" sheetId="5" r:id="rId5"/>
    <sheet name="Rury" sheetId="6" r:id="rId6"/>
  </sheets>
  <definedNames>
    <definedName name="srednica">Rury!$B$5:$B$14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6" l="1"/>
  <c r="I26" i="6" s="1"/>
  <c r="D27" i="6"/>
  <c r="D28" i="6"/>
  <c r="D26" i="6"/>
  <c r="D24" i="6"/>
  <c r="I23" i="6"/>
  <c r="D23" i="6"/>
  <c r="M5" i="6"/>
  <c r="K6" i="6"/>
  <c r="M6" i="6" s="1"/>
  <c r="K7" i="6"/>
  <c r="M7" i="6" s="1"/>
  <c r="K8" i="6"/>
  <c r="M8" i="6" s="1"/>
  <c r="K9" i="6"/>
  <c r="M9" i="6" s="1"/>
  <c r="K10" i="6"/>
  <c r="M10" i="6" s="1"/>
  <c r="K11" i="6"/>
  <c r="M11" i="6" s="1"/>
  <c r="K12" i="6"/>
  <c r="M12" i="6" s="1"/>
  <c r="K13" i="6"/>
  <c r="M13" i="6" s="1"/>
  <c r="K14" i="6"/>
  <c r="M14" i="6" s="1"/>
  <c r="K5" i="6"/>
  <c r="I28" i="6" l="1"/>
  <c r="I27" i="6"/>
  <c r="C21" i="5"/>
  <c r="C12" i="5"/>
  <c r="C33" i="5" s="1"/>
  <c r="C22" i="5" l="1"/>
  <c r="C45" i="5" s="1"/>
  <c r="C25" i="4"/>
  <c r="C14" i="4"/>
  <c r="C37" i="4" l="1"/>
  <c r="C25" i="2"/>
  <c r="C12" i="3"/>
  <c r="C33" i="3" s="1"/>
  <c r="C21" i="3"/>
  <c r="C22" i="3" s="1"/>
  <c r="C45" i="3" s="1"/>
  <c r="C16" i="1"/>
  <c r="C4" i="1"/>
  <c r="C6" i="1" s="1"/>
  <c r="C12" i="1" s="1"/>
  <c r="C14" i="2" l="1"/>
  <c r="C37" i="2" s="1"/>
  <c r="C14" i="1"/>
  <c r="C19" i="1" s="1"/>
</calcChain>
</file>

<file path=xl/sharedStrings.xml><?xml version="1.0" encoding="utf-8"?>
<sst xmlns="http://schemas.openxmlformats.org/spreadsheetml/2006/main" count="214" uniqueCount="91">
  <si>
    <t>Dolne źródło ciepła</t>
  </si>
  <si>
    <t>6x100m DN32</t>
  </si>
  <si>
    <t>litów w rurach</t>
  </si>
  <si>
    <t>litrów w rurach dobiegowych i PC</t>
  </si>
  <si>
    <t>litrów/instalacja DŹ</t>
  </si>
  <si>
    <t>β=</t>
  </si>
  <si>
    <t>∆T=</t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</si>
  <si>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x </t>
    </r>
    <r>
      <rPr>
        <sz val="11"/>
        <color theme="1"/>
        <rFont val="Calibri"/>
        <family val="2"/>
        <charset val="238"/>
      </rPr>
      <t xml:space="preserve">β </t>
    </r>
    <r>
      <rPr>
        <sz val="11"/>
        <color theme="1"/>
        <rFont val="Calibri"/>
        <family val="2"/>
        <charset val="238"/>
        <scheme val="minor"/>
      </rPr>
      <t>x ∆T</t>
    </r>
  </si>
  <si>
    <r>
      <t>(V</t>
    </r>
    <r>
      <rPr>
        <vertAlign val="subscript"/>
        <sz val="11"/>
        <color theme="1"/>
        <rFont val="Calibri"/>
        <family val="2"/>
        <charset val="238"/>
        <scheme val="minor"/>
      </rPr>
      <t>Z</t>
    </r>
    <r>
      <rPr>
        <sz val="11"/>
        <color theme="1"/>
        <rFont val="Calibri"/>
        <family val="2"/>
        <charset val="238"/>
        <scheme val="minor"/>
      </rPr>
      <t>+V</t>
    </r>
    <r>
      <rPr>
        <vertAlign val="subscript"/>
        <sz val="11"/>
        <color theme="1"/>
        <rFont val="Calibri"/>
        <family val="2"/>
        <charset val="238"/>
        <scheme val="minor"/>
      </rPr>
      <t>V</t>
    </r>
    <r>
      <rPr>
        <sz val="11"/>
        <color theme="1"/>
        <rFont val="Calibri"/>
        <family val="2"/>
        <charset val="238"/>
        <scheme val="minor"/>
      </rPr>
      <t>)x(p</t>
    </r>
    <r>
      <rPr>
        <vertAlign val="sub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>+1)/(p</t>
    </r>
    <r>
      <rPr>
        <vertAlign val="sub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>-p</t>
    </r>
    <r>
      <rPr>
        <vertAlign val="subscript"/>
        <sz val="11"/>
        <color theme="1"/>
        <rFont val="Calibri"/>
        <family val="2"/>
        <charset val="238"/>
        <scheme val="minor"/>
      </rPr>
      <t>st</t>
    </r>
    <r>
      <rPr>
        <sz val="11"/>
        <color theme="1"/>
        <rFont val="Calibri"/>
        <family val="2"/>
        <charset val="238"/>
        <scheme val="minor"/>
      </rPr>
      <t>)</t>
    </r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</si>
  <si>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>=</t>
    </r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</si>
  <si>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Z</t>
    </r>
    <r>
      <rPr>
        <sz val="11"/>
        <color theme="1"/>
        <rFont val="Calibri"/>
        <family val="2"/>
        <charset val="238"/>
        <scheme val="minor"/>
      </rPr>
      <t>=</t>
    </r>
  </si>
  <si>
    <t>[litry]</t>
  </si>
  <si>
    <t>[K]</t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</si>
  <si>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>=</t>
    </r>
  </si>
  <si>
    <t>lecz nie mniej jak 3 litry</t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</si>
  <si>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V</t>
    </r>
    <r>
      <rPr>
        <sz val="11"/>
        <color theme="1"/>
        <rFont val="Calibri"/>
        <family val="2"/>
        <charset val="238"/>
        <scheme val="minor"/>
      </rPr>
      <t>=</t>
    </r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</si>
  <si>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x 0,005</t>
    </r>
  </si>
  <si>
    <t>=0,9 x psi</t>
  </si>
  <si>
    <t>[bar]</t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</si>
  <si>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>e</t>
    </r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</si>
  <si>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>st</t>
    </r>
  </si>
  <si>
    <t>[litra]</t>
  </si>
  <si>
    <t>Dobrano naczynie przeponowe o pojemności 25 litrów</t>
  </si>
  <si>
    <t>Górne źródło ciepła</t>
  </si>
  <si>
    <t>Ogrzewanie podłogowe</t>
  </si>
  <si>
    <t>Właściwa pojemność instalacji</t>
  </si>
  <si>
    <t>litrów/kW</t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</si>
  <si>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system</t>
    </r>
    <r>
      <rPr>
        <sz val="11"/>
        <color theme="1"/>
        <rFont val="Calibri"/>
        <family val="2"/>
        <charset val="238"/>
        <scheme val="minor"/>
      </rPr>
      <t>=</t>
    </r>
  </si>
  <si>
    <t>Nominalna moc cieplna</t>
  </si>
  <si>
    <t>[kW]</t>
  </si>
  <si>
    <t>[litrów]</t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</si>
  <si>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>=</t>
    </r>
  </si>
  <si>
    <r>
      <t>=e x V</t>
    </r>
    <r>
      <rPr>
        <vertAlign val="subscript"/>
        <sz val="11"/>
        <color theme="1"/>
        <rFont val="Calibri"/>
        <family val="2"/>
        <charset val="238"/>
        <scheme val="minor"/>
      </rPr>
      <t>system</t>
    </r>
    <r>
      <rPr>
        <sz val="11"/>
        <color theme="1"/>
        <rFont val="Calibri"/>
        <family val="2"/>
        <charset val="238"/>
        <scheme val="minor"/>
      </rPr>
      <t xml:space="preserve"> / 100</t>
    </r>
  </si>
  <si>
    <r>
      <t>e (35</t>
    </r>
    <r>
      <rPr>
        <sz val="11"/>
        <color theme="1"/>
        <rFont val="Calibri"/>
        <family val="2"/>
        <charset val="238"/>
      </rPr>
      <t>°</t>
    </r>
    <r>
      <rPr>
        <sz val="9.35"/>
        <color theme="1"/>
        <rFont val="Calibri"/>
        <family val="2"/>
        <charset val="238"/>
      </rPr>
      <t>C)=</t>
    </r>
  </si>
  <si>
    <t>Objętość rozszerzania</t>
  </si>
  <si>
    <t>Rezerwa wodna (straty podczas postoju)</t>
  </si>
  <si>
    <t>dla naczyn &lt; 15 litrów minimum 20% objętości naczynia</t>
  </si>
  <si>
    <t>dla większych instalacji minium 0,5% zładu i nie mniej niż 3 litry</t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</si>
  <si>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WR</t>
    </r>
    <r>
      <rPr>
        <sz val="11"/>
        <color theme="1"/>
        <rFont val="Calibri"/>
        <family val="2"/>
        <charset val="238"/>
        <scheme val="minor"/>
      </rPr>
      <t>=</t>
    </r>
  </si>
  <si>
    <t>Ciśnienie końcowe insalacji</t>
  </si>
  <si>
    <r>
      <t>p</t>
    </r>
    <r>
      <rPr>
        <vertAlign val="sub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>=</t>
    </r>
  </si>
  <si>
    <t>Objętość naczynia przeponowego</t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</si>
  <si>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NW</t>
    </r>
    <r>
      <rPr>
        <sz val="11"/>
        <color theme="1"/>
        <rFont val="Calibri"/>
        <family val="2"/>
        <charset val="238"/>
        <scheme val="minor"/>
      </rPr>
      <t>=</t>
    </r>
  </si>
  <si>
    <t>litrów]</t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</si>
  <si>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bufor</t>
    </r>
    <r>
      <rPr>
        <sz val="11"/>
        <color theme="1"/>
        <rFont val="Calibri"/>
        <family val="2"/>
        <charset val="238"/>
        <scheme val="minor"/>
      </rPr>
      <t>=</t>
    </r>
  </si>
  <si>
    <r>
      <t>(dla p</t>
    </r>
    <r>
      <rPr>
        <vertAlign val="sub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>=1,5 bar)</t>
    </r>
  </si>
  <si>
    <t>Dobór naczynia przeponowego po stronie CO</t>
  </si>
  <si>
    <t>Dobór naczynia przeponowego po stronie solanki</t>
  </si>
  <si>
    <t>Dobór naczynia przeponowego po stronie CWU</t>
  </si>
  <si>
    <r>
      <t>e (50</t>
    </r>
    <r>
      <rPr>
        <sz val="11"/>
        <color theme="1"/>
        <rFont val="Calibri"/>
        <family val="2"/>
        <charset val="238"/>
      </rPr>
      <t>°</t>
    </r>
    <r>
      <rPr>
        <sz val="9.35"/>
        <color theme="1"/>
        <rFont val="Calibri"/>
        <family val="2"/>
        <charset val="238"/>
      </rPr>
      <t>C)=</t>
    </r>
  </si>
  <si>
    <r>
      <t>(dla p</t>
    </r>
    <r>
      <rPr>
        <vertAlign val="sub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>=4 bar)</t>
    </r>
  </si>
  <si>
    <t>Dobrano naczynie przeponowe o pojemności 35 litrów</t>
  </si>
  <si>
    <t>Ciepła woda użytkowa</t>
  </si>
  <si>
    <t>Vitocell 100-V CVW</t>
  </si>
  <si>
    <t>Vitocell 100-V CVAA</t>
  </si>
  <si>
    <t>bar</t>
  </si>
  <si>
    <r>
      <t>dla p</t>
    </r>
    <r>
      <rPr>
        <vertAlign val="sub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>=</t>
    </r>
  </si>
  <si>
    <t>Dobrano naczynie przeponowe o pojemności 10 litrów</t>
  </si>
  <si>
    <t>PN10</t>
  </si>
  <si>
    <t>PP</t>
  </si>
  <si>
    <t>PN16</t>
  </si>
  <si>
    <t>PN20</t>
  </si>
  <si>
    <t>Øwew</t>
  </si>
  <si>
    <t>[mm]</t>
  </si>
  <si>
    <t>V / m</t>
  </si>
  <si>
    <t>DN</t>
  </si>
  <si>
    <t>s</t>
  </si>
  <si>
    <t>di</t>
  </si>
  <si>
    <t>D</t>
  </si>
  <si>
    <t>Opór</t>
  </si>
  <si>
    <t>R 700</t>
  </si>
  <si>
    <t>700 l/h</t>
  </si>
  <si>
    <t>1000 l/h</t>
  </si>
  <si>
    <t>1400 l/h</t>
  </si>
  <si>
    <t>R 1000</t>
  </si>
  <si>
    <t>R 1400</t>
  </si>
  <si>
    <t>1800 l/h</t>
  </si>
  <si>
    <t>R 1800</t>
  </si>
  <si>
    <t>[mbar/m]</t>
  </si>
  <si>
    <t>Długość odcinka</t>
  </si>
  <si>
    <t>[m]</t>
  </si>
  <si>
    <t>Średnica rury PP</t>
  </si>
  <si>
    <t>Przepływ</t>
  </si>
  <si>
    <t>[l/h]</t>
  </si>
  <si>
    <t>Opory przepływu</t>
  </si>
  <si>
    <t>[mbar]</t>
  </si>
  <si>
    <t>Opory zewnętrzne</t>
  </si>
  <si>
    <t>Opór całkowity</t>
  </si>
  <si>
    <t>[kPa]</t>
  </si>
  <si>
    <t>Ogrzewanie CO | podłogówka</t>
  </si>
  <si>
    <t>Ogrzewanie CWU | CVBB 300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</si>
</sst>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9.35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0" fillId="0" borderId="0" xfId="0" quotePrefix="1"/>
    <xf numFmtId="0" fontId="2" fillId="0" borderId="0" xfId="0" applyFont="1"/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0" fillId="4" borderId="0" xfId="0" applyFill="1"/>
    <xf numFmtId="0" fontId="1" fillId="4" borderId="0" xfId="0" applyFont="1" applyFill="1"/>
    <xf numFmtId="0" fontId="0" fillId="0" borderId="0" xfId="0" applyFill="1"/>
    <xf numFmtId="0" fontId="4" fillId="0" borderId="0" xfId="0" applyFont="1" applyFill="1"/>
    <xf numFmtId="0" fontId="0" fillId="0" borderId="2" xfId="0" applyBorder="1"/>
    <xf numFmtId="0" fontId="0" fillId="0" borderId="1" xfId="0" applyBorder="1"/>
    <xf numFmtId="0" fontId="0" fillId="0" borderId="1" xfId="0" quotePrefix="1" applyBorder="1" applyAlignment="1">
      <alignment horizontal="right"/>
    </xf>
    <xf numFmtId="0" fontId="5" fillId="4" borderId="0" xfId="0" applyFont="1" applyFill="1"/>
    <xf numFmtId="2" fontId="0" fillId="0" borderId="1" xfId="0" applyNumberFormat="1" applyBorder="1"/>
    <xf numFmtId="0" fontId="0" fillId="0" borderId="1" xfId="0" applyFill="1" applyBorder="1"/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horizontal="left"/>
    </xf>
    <xf numFmtId="2" fontId="0" fillId="4" borderId="1" xfId="0" applyNumberForma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 z buforem'!$N$17:$N$25</c:f>
              <c:numCache>
                <c:formatCode>General</c:formatCode>
                <c:ptCount val="9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5">
                  <c:v>70</c:v>
                </c:pt>
                <c:pt idx="6">
                  <c:v>75</c:v>
                </c:pt>
                <c:pt idx="7">
                  <c:v>80</c:v>
                </c:pt>
                <c:pt idx="8">
                  <c:v>90</c:v>
                </c:pt>
              </c:numCache>
            </c:numRef>
          </c:xVal>
          <c:yVal>
            <c:numRef>
              <c:f>'CO z buforem'!$O$17:$O$25</c:f>
              <c:numCache>
                <c:formatCode>General</c:formatCode>
                <c:ptCount val="9"/>
                <c:pt idx="0">
                  <c:v>3.13</c:v>
                </c:pt>
                <c:pt idx="1">
                  <c:v>2.44</c:v>
                </c:pt>
                <c:pt idx="2">
                  <c:v>2</c:v>
                </c:pt>
                <c:pt idx="3">
                  <c:v>1.69</c:v>
                </c:pt>
                <c:pt idx="5">
                  <c:v>1.45</c:v>
                </c:pt>
                <c:pt idx="6">
                  <c:v>1.26</c:v>
                </c:pt>
                <c:pt idx="7">
                  <c:v>1.1200000000000001</c:v>
                </c:pt>
                <c:pt idx="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5D-4E01-AAE0-2BB1DAAFE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247496"/>
        <c:axId val="230247168"/>
      </c:scatterChart>
      <c:valAx>
        <c:axId val="230247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0247168"/>
        <c:crosses val="autoZero"/>
        <c:crossBetween val="midCat"/>
      </c:valAx>
      <c:valAx>
        <c:axId val="23024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0247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 z buforem'!$N$17:$N$25</c:f>
              <c:numCache>
                <c:formatCode>General</c:formatCode>
                <c:ptCount val="9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5">
                  <c:v>70</c:v>
                </c:pt>
                <c:pt idx="6">
                  <c:v>75</c:v>
                </c:pt>
                <c:pt idx="7">
                  <c:v>80</c:v>
                </c:pt>
                <c:pt idx="8">
                  <c:v>90</c:v>
                </c:pt>
              </c:numCache>
            </c:numRef>
          </c:xVal>
          <c:yVal>
            <c:numRef>
              <c:f>'CO z buforem'!$O$17:$O$25</c:f>
              <c:numCache>
                <c:formatCode>General</c:formatCode>
                <c:ptCount val="9"/>
                <c:pt idx="0">
                  <c:v>3.13</c:v>
                </c:pt>
                <c:pt idx="1">
                  <c:v>2.44</c:v>
                </c:pt>
                <c:pt idx="2">
                  <c:v>2</c:v>
                </c:pt>
                <c:pt idx="3">
                  <c:v>1.69</c:v>
                </c:pt>
                <c:pt idx="5">
                  <c:v>1.45</c:v>
                </c:pt>
                <c:pt idx="6">
                  <c:v>1.26</c:v>
                </c:pt>
                <c:pt idx="7">
                  <c:v>1.1200000000000001</c:v>
                </c:pt>
                <c:pt idx="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5F-45AC-8674-8E009517E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247496"/>
        <c:axId val="230247168"/>
      </c:scatterChart>
      <c:valAx>
        <c:axId val="230247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0247168"/>
        <c:crosses val="autoZero"/>
        <c:crossBetween val="midCat"/>
      </c:valAx>
      <c:valAx>
        <c:axId val="23024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0247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 z buforem'!$N$17:$N$25</c:f>
              <c:numCache>
                <c:formatCode>General</c:formatCode>
                <c:ptCount val="9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5">
                  <c:v>70</c:v>
                </c:pt>
                <c:pt idx="6">
                  <c:v>75</c:v>
                </c:pt>
                <c:pt idx="7">
                  <c:v>80</c:v>
                </c:pt>
                <c:pt idx="8">
                  <c:v>90</c:v>
                </c:pt>
              </c:numCache>
            </c:numRef>
          </c:xVal>
          <c:yVal>
            <c:numRef>
              <c:f>'CO z buforem'!$O$17:$O$25</c:f>
              <c:numCache>
                <c:formatCode>General</c:formatCode>
                <c:ptCount val="9"/>
                <c:pt idx="0">
                  <c:v>3.13</c:v>
                </c:pt>
                <c:pt idx="1">
                  <c:v>2.44</c:v>
                </c:pt>
                <c:pt idx="2">
                  <c:v>2</c:v>
                </c:pt>
                <c:pt idx="3">
                  <c:v>1.69</c:v>
                </c:pt>
                <c:pt idx="5">
                  <c:v>1.45</c:v>
                </c:pt>
                <c:pt idx="6">
                  <c:v>1.26</c:v>
                </c:pt>
                <c:pt idx="7">
                  <c:v>1.1200000000000001</c:v>
                </c:pt>
                <c:pt idx="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38-4680-A1A9-77AACD11A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247496"/>
        <c:axId val="230247168"/>
      </c:scatterChart>
      <c:valAx>
        <c:axId val="230247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0247168"/>
        <c:crosses val="autoZero"/>
        <c:crossBetween val="midCat"/>
      </c:valAx>
      <c:valAx>
        <c:axId val="23024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0247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'CO z buforem'!$N$17:$N$25</c:f>
              <c:numCache>
                <c:formatCode>General</c:formatCode>
                <c:ptCount val="9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5">
                  <c:v>70</c:v>
                </c:pt>
                <c:pt idx="6">
                  <c:v>75</c:v>
                </c:pt>
                <c:pt idx="7">
                  <c:v>80</c:v>
                </c:pt>
                <c:pt idx="8">
                  <c:v>90</c:v>
                </c:pt>
              </c:numCache>
            </c:numRef>
          </c:xVal>
          <c:yVal>
            <c:numRef>
              <c:f>'CO z buforem'!$O$17:$O$25</c:f>
              <c:numCache>
                <c:formatCode>General</c:formatCode>
                <c:ptCount val="9"/>
                <c:pt idx="0">
                  <c:v>3.13</c:v>
                </c:pt>
                <c:pt idx="1">
                  <c:v>2.44</c:v>
                </c:pt>
                <c:pt idx="2">
                  <c:v>2</c:v>
                </c:pt>
                <c:pt idx="3">
                  <c:v>1.69</c:v>
                </c:pt>
                <c:pt idx="5">
                  <c:v>1.45</c:v>
                </c:pt>
                <c:pt idx="6">
                  <c:v>1.26</c:v>
                </c:pt>
                <c:pt idx="7">
                  <c:v>1.1200000000000001</c:v>
                </c:pt>
                <c:pt idx="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5E-4134-B607-6F8EA9E72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247496"/>
        <c:axId val="230247168"/>
      </c:scatterChart>
      <c:valAx>
        <c:axId val="230247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0247168"/>
        <c:crosses val="autoZero"/>
        <c:crossBetween val="midCat"/>
      </c:valAx>
      <c:valAx>
        <c:axId val="23024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0247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4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image" Target="../media/image4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168088</xdr:colOff>
      <xdr:row>8</xdr:row>
      <xdr:rowOff>1</xdr:rowOff>
    </xdr:from>
    <xdr:to>
      <xdr:col>21</xdr:col>
      <xdr:colOff>224118</xdr:colOff>
      <xdr:row>17</xdr:row>
      <xdr:rowOff>11206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11204</xdr:colOff>
      <xdr:row>4</xdr:row>
      <xdr:rowOff>156883</xdr:rowOff>
    </xdr:from>
    <xdr:to>
      <xdr:col>13</xdr:col>
      <xdr:colOff>76198</xdr:colOff>
      <xdr:row>19</xdr:row>
      <xdr:rowOff>10086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87979" y="2623858"/>
          <a:ext cx="3722594" cy="2720228"/>
        </a:xfrm>
        <a:prstGeom prst="rect">
          <a:avLst/>
        </a:prstGeom>
      </xdr:spPr>
    </xdr:pic>
    <xdr:clientData/>
  </xdr:twoCellAnchor>
  <xdr:twoCellAnchor editAs="oneCell">
    <xdr:from>
      <xdr:col>1</xdr:col>
      <xdr:colOff>11207</xdr:colOff>
      <xdr:row>6</xdr:row>
      <xdr:rowOff>33617</xdr:rowOff>
    </xdr:from>
    <xdr:to>
      <xdr:col>6</xdr:col>
      <xdr:colOff>515471</xdr:colOff>
      <xdr:row>11</xdr:row>
      <xdr:rowOff>11466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0807" y="2881592"/>
          <a:ext cx="3552264" cy="93034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22411</xdr:rowOff>
    </xdr:from>
    <xdr:to>
      <xdr:col>5</xdr:col>
      <xdr:colOff>494180</xdr:colOff>
      <xdr:row>23</xdr:row>
      <xdr:rowOff>174811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251636"/>
          <a:ext cx="2932580" cy="1104900"/>
        </a:xfrm>
        <a:prstGeom prst="rect">
          <a:avLst/>
        </a:prstGeom>
      </xdr:spPr>
    </xdr:pic>
    <xdr:clientData/>
  </xdr:twoCellAnchor>
  <xdr:twoCellAnchor editAs="oneCell">
    <xdr:from>
      <xdr:col>0</xdr:col>
      <xdr:colOff>593912</xdr:colOff>
      <xdr:row>28</xdr:row>
      <xdr:rowOff>44824</xdr:rowOff>
    </xdr:from>
    <xdr:to>
      <xdr:col>6</xdr:col>
      <xdr:colOff>639856</xdr:colOff>
      <xdr:row>35</xdr:row>
      <xdr:rowOff>159124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93912" y="7293349"/>
          <a:ext cx="3703544" cy="1447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168088</xdr:colOff>
      <xdr:row>8</xdr:row>
      <xdr:rowOff>1</xdr:rowOff>
    </xdr:from>
    <xdr:to>
      <xdr:col>21</xdr:col>
      <xdr:colOff>224118</xdr:colOff>
      <xdr:row>17</xdr:row>
      <xdr:rowOff>11206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11204</xdr:colOff>
      <xdr:row>4</xdr:row>
      <xdr:rowOff>156883</xdr:rowOff>
    </xdr:from>
    <xdr:to>
      <xdr:col>13</xdr:col>
      <xdr:colOff>76198</xdr:colOff>
      <xdr:row>19</xdr:row>
      <xdr:rowOff>114861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87979" y="1023658"/>
          <a:ext cx="3722594" cy="2815478"/>
        </a:xfrm>
        <a:prstGeom prst="rect">
          <a:avLst/>
        </a:prstGeom>
      </xdr:spPr>
    </xdr:pic>
    <xdr:clientData/>
  </xdr:twoCellAnchor>
  <xdr:twoCellAnchor editAs="oneCell">
    <xdr:from>
      <xdr:col>1</xdr:col>
      <xdr:colOff>11207</xdr:colOff>
      <xdr:row>6</xdr:row>
      <xdr:rowOff>33617</xdr:rowOff>
    </xdr:from>
    <xdr:to>
      <xdr:col>6</xdr:col>
      <xdr:colOff>515471</xdr:colOff>
      <xdr:row>11</xdr:row>
      <xdr:rowOff>11466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0807" y="1281392"/>
          <a:ext cx="3552264" cy="93034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22411</xdr:rowOff>
    </xdr:from>
    <xdr:to>
      <xdr:col>5</xdr:col>
      <xdr:colOff>494180</xdr:colOff>
      <xdr:row>23</xdr:row>
      <xdr:rowOff>174811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660961"/>
          <a:ext cx="2932580" cy="1104900"/>
        </a:xfrm>
        <a:prstGeom prst="rect">
          <a:avLst/>
        </a:prstGeom>
      </xdr:spPr>
    </xdr:pic>
    <xdr:clientData/>
  </xdr:twoCellAnchor>
  <xdr:twoCellAnchor editAs="oneCell">
    <xdr:from>
      <xdr:col>0</xdr:col>
      <xdr:colOff>593912</xdr:colOff>
      <xdr:row>28</xdr:row>
      <xdr:rowOff>44824</xdr:rowOff>
    </xdr:from>
    <xdr:to>
      <xdr:col>6</xdr:col>
      <xdr:colOff>639856</xdr:colOff>
      <xdr:row>35</xdr:row>
      <xdr:rowOff>159124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93912" y="5702674"/>
          <a:ext cx="3703544" cy="1447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72838</xdr:colOff>
      <xdr:row>3</xdr:row>
      <xdr:rowOff>168088</xdr:rowOff>
    </xdr:from>
    <xdr:to>
      <xdr:col>13</xdr:col>
      <xdr:colOff>72837</xdr:colOff>
      <xdr:row>10</xdr:row>
      <xdr:rowOff>224117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57853"/>
        <a:stretch/>
      </xdr:blipFill>
      <xdr:spPr>
        <a:xfrm>
          <a:off x="4723279" y="784412"/>
          <a:ext cx="3630705" cy="1434352"/>
        </a:xfrm>
        <a:prstGeom prst="rect">
          <a:avLst/>
        </a:prstGeom>
      </xdr:spPr>
    </xdr:pic>
    <xdr:clientData/>
  </xdr:twoCellAnchor>
  <xdr:twoCellAnchor editAs="oneCell">
    <xdr:from>
      <xdr:col>1</xdr:col>
      <xdr:colOff>24094</xdr:colOff>
      <xdr:row>6</xdr:row>
      <xdr:rowOff>58830</xdr:rowOff>
    </xdr:from>
    <xdr:to>
      <xdr:col>6</xdr:col>
      <xdr:colOff>201706</xdr:colOff>
      <xdr:row>9</xdr:row>
      <xdr:rowOff>156884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212" y="1280271"/>
          <a:ext cx="3203200" cy="669554"/>
        </a:xfrm>
        <a:prstGeom prst="rect">
          <a:avLst/>
        </a:prstGeom>
      </xdr:spPr>
    </xdr:pic>
    <xdr:clientData/>
  </xdr:twoCellAnchor>
  <xdr:twoCellAnchor>
    <xdr:from>
      <xdr:col>15</xdr:col>
      <xdr:colOff>168088</xdr:colOff>
      <xdr:row>16</xdr:row>
      <xdr:rowOff>1</xdr:rowOff>
    </xdr:from>
    <xdr:to>
      <xdr:col>21</xdr:col>
      <xdr:colOff>224118</xdr:colOff>
      <xdr:row>25</xdr:row>
      <xdr:rowOff>11206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11204</xdr:colOff>
      <xdr:row>12</xdr:row>
      <xdr:rowOff>156883</xdr:rowOff>
    </xdr:from>
    <xdr:to>
      <xdr:col>13</xdr:col>
      <xdr:colOff>76198</xdr:colOff>
      <xdr:row>26</xdr:row>
      <xdr:rowOff>103655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661645" y="2330824"/>
          <a:ext cx="3695700" cy="2714625"/>
        </a:xfrm>
        <a:prstGeom prst="rect">
          <a:avLst/>
        </a:prstGeom>
      </xdr:spPr>
    </xdr:pic>
    <xdr:clientData/>
  </xdr:twoCellAnchor>
  <xdr:twoCellAnchor editAs="oneCell">
    <xdr:from>
      <xdr:col>1</xdr:col>
      <xdr:colOff>11207</xdr:colOff>
      <xdr:row>14</xdr:row>
      <xdr:rowOff>33617</xdr:rowOff>
    </xdr:from>
    <xdr:to>
      <xdr:col>6</xdr:col>
      <xdr:colOff>515471</xdr:colOff>
      <xdr:row>19</xdr:row>
      <xdr:rowOff>11466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6325" y="2017058"/>
          <a:ext cx="3529852" cy="93034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22411</xdr:rowOff>
    </xdr:from>
    <xdr:to>
      <xdr:col>5</xdr:col>
      <xdr:colOff>494180</xdr:colOff>
      <xdr:row>31</xdr:row>
      <xdr:rowOff>174811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5118" y="5009029"/>
          <a:ext cx="2914650" cy="1104900"/>
        </a:xfrm>
        <a:prstGeom prst="rect">
          <a:avLst/>
        </a:prstGeom>
      </xdr:spPr>
    </xdr:pic>
    <xdr:clientData/>
  </xdr:twoCellAnchor>
  <xdr:twoCellAnchor editAs="oneCell">
    <xdr:from>
      <xdr:col>13</xdr:col>
      <xdr:colOff>45944</xdr:colOff>
      <xdr:row>3</xdr:row>
      <xdr:rowOff>190498</xdr:rowOff>
    </xdr:from>
    <xdr:to>
      <xdr:col>19</xdr:col>
      <xdr:colOff>45943</xdr:colOff>
      <xdr:row>12</xdr:row>
      <xdr:rowOff>171449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6230"/>
        <a:stretch/>
      </xdr:blipFill>
      <xdr:spPr>
        <a:xfrm>
          <a:off x="8327091" y="806822"/>
          <a:ext cx="3630705" cy="1829921"/>
        </a:xfrm>
        <a:prstGeom prst="rect">
          <a:avLst/>
        </a:prstGeom>
      </xdr:spPr>
    </xdr:pic>
    <xdr:clientData/>
  </xdr:twoCellAnchor>
  <xdr:twoCellAnchor editAs="oneCell">
    <xdr:from>
      <xdr:col>0</xdr:col>
      <xdr:colOff>593912</xdr:colOff>
      <xdr:row>36</xdr:row>
      <xdr:rowOff>44824</xdr:rowOff>
    </xdr:from>
    <xdr:to>
      <xdr:col>6</xdr:col>
      <xdr:colOff>639856</xdr:colOff>
      <xdr:row>43</xdr:row>
      <xdr:rowOff>159124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93912" y="7026089"/>
          <a:ext cx="3676650" cy="1447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72838</xdr:colOff>
      <xdr:row>3</xdr:row>
      <xdr:rowOff>168088</xdr:rowOff>
    </xdr:from>
    <xdr:to>
      <xdr:col>13</xdr:col>
      <xdr:colOff>72837</xdr:colOff>
      <xdr:row>11</xdr:row>
      <xdr:rowOff>71717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57853"/>
        <a:stretch/>
      </xdr:blipFill>
      <xdr:spPr>
        <a:xfrm>
          <a:off x="4749613" y="787213"/>
          <a:ext cx="3657599" cy="1427629"/>
        </a:xfrm>
        <a:prstGeom prst="rect">
          <a:avLst/>
        </a:prstGeom>
      </xdr:spPr>
    </xdr:pic>
    <xdr:clientData/>
  </xdr:twoCellAnchor>
  <xdr:twoCellAnchor editAs="oneCell">
    <xdr:from>
      <xdr:col>1</xdr:col>
      <xdr:colOff>24094</xdr:colOff>
      <xdr:row>6</xdr:row>
      <xdr:rowOff>58830</xdr:rowOff>
    </xdr:from>
    <xdr:to>
      <xdr:col>6</xdr:col>
      <xdr:colOff>201706</xdr:colOff>
      <xdr:row>9</xdr:row>
      <xdr:rowOff>156884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694" y="1278030"/>
          <a:ext cx="3225612" cy="669554"/>
        </a:xfrm>
        <a:prstGeom prst="rect">
          <a:avLst/>
        </a:prstGeom>
      </xdr:spPr>
    </xdr:pic>
    <xdr:clientData/>
  </xdr:twoCellAnchor>
  <xdr:twoCellAnchor>
    <xdr:from>
      <xdr:col>15</xdr:col>
      <xdr:colOff>168088</xdr:colOff>
      <xdr:row>16</xdr:row>
      <xdr:rowOff>1</xdr:rowOff>
    </xdr:from>
    <xdr:to>
      <xdr:col>21</xdr:col>
      <xdr:colOff>224118</xdr:colOff>
      <xdr:row>25</xdr:row>
      <xdr:rowOff>11206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11204</xdr:colOff>
      <xdr:row>12</xdr:row>
      <xdr:rowOff>156883</xdr:rowOff>
    </xdr:from>
    <xdr:to>
      <xdr:col>13</xdr:col>
      <xdr:colOff>76198</xdr:colOff>
      <xdr:row>27</xdr:row>
      <xdr:rowOff>17930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687979" y="2623858"/>
          <a:ext cx="3722594" cy="2718547"/>
        </a:xfrm>
        <a:prstGeom prst="rect">
          <a:avLst/>
        </a:prstGeom>
      </xdr:spPr>
    </xdr:pic>
    <xdr:clientData/>
  </xdr:twoCellAnchor>
  <xdr:twoCellAnchor editAs="oneCell">
    <xdr:from>
      <xdr:col>1</xdr:col>
      <xdr:colOff>11207</xdr:colOff>
      <xdr:row>14</xdr:row>
      <xdr:rowOff>33617</xdr:rowOff>
    </xdr:from>
    <xdr:to>
      <xdr:col>6</xdr:col>
      <xdr:colOff>515471</xdr:colOff>
      <xdr:row>19</xdr:row>
      <xdr:rowOff>11466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20807" y="2881592"/>
          <a:ext cx="3552264" cy="93034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22411</xdr:rowOff>
    </xdr:from>
    <xdr:to>
      <xdr:col>5</xdr:col>
      <xdr:colOff>494180</xdr:colOff>
      <xdr:row>31</xdr:row>
      <xdr:rowOff>174811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261161"/>
          <a:ext cx="2932580" cy="1104900"/>
        </a:xfrm>
        <a:prstGeom prst="rect">
          <a:avLst/>
        </a:prstGeom>
      </xdr:spPr>
    </xdr:pic>
    <xdr:clientData/>
  </xdr:twoCellAnchor>
  <xdr:twoCellAnchor editAs="oneCell">
    <xdr:from>
      <xdr:col>13</xdr:col>
      <xdr:colOff>45944</xdr:colOff>
      <xdr:row>3</xdr:row>
      <xdr:rowOff>190498</xdr:rowOff>
    </xdr:from>
    <xdr:to>
      <xdr:col>19</xdr:col>
      <xdr:colOff>45943</xdr:colOff>
      <xdr:row>13</xdr:row>
      <xdr:rowOff>114299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6230"/>
        <a:stretch/>
      </xdr:blipFill>
      <xdr:spPr>
        <a:xfrm>
          <a:off x="8380319" y="809623"/>
          <a:ext cx="3657599" cy="1828801"/>
        </a:xfrm>
        <a:prstGeom prst="rect">
          <a:avLst/>
        </a:prstGeom>
      </xdr:spPr>
    </xdr:pic>
    <xdr:clientData/>
  </xdr:twoCellAnchor>
  <xdr:twoCellAnchor editAs="oneCell">
    <xdr:from>
      <xdr:col>0</xdr:col>
      <xdr:colOff>593912</xdr:colOff>
      <xdr:row>36</xdr:row>
      <xdr:rowOff>44824</xdr:rowOff>
    </xdr:from>
    <xdr:to>
      <xdr:col>6</xdr:col>
      <xdr:colOff>639856</xdr:colOff>
      <xdr:row>43</xdr:row>
      <xdr:rowOff>159124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93912" y="7302874"/>
          <a:ext cx="3703544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1"/>
  <sheetViews>
    <sheetView zoomScale="85" zoomScaleNormal="85" workbookViewId="0">
      <selection activeCell="I13" sqref="I13"/>
    </sheetView>
  </sheetViews>
  <sheetFormatPr defaultRowHeight="15" x14ac:dyDescent="0.25"/>
  <cols>
    <col min="3" max="3" width="21.140625" bestFit="1" customWidth="1"/>
  </cols>
  <sheetData>
    <row r="2" spans="2:7" ht="18.75" x14ac:dyDescent="0.3">
      <c r="B2" s="22" t="s">
        <v>47</v>
      </c>
      <c r="C2" s="22"/>
      <c r="D2" s="22"/>
      <c r="E2" s="22"/>
      <c r="F2" s="22"/>
      <c r="G2" s="22"/>
    </row>
    <row r="3" spans="2:7" x14ac:dyDescent="0.25">
      <c r="B3" s="8" t="s">
        <v>0</v>
      </c>
      <c r="C3" s="7"/>
      <c r="D3" t="s">
        <v>1</v>
      </c>
    </row>
    <row r="4" spans="2:7" x14ac:dyDescent="0.25">
      <c r="C4">
        <f>0.531*600</f>
        <v>318.60000000000002</v>
      </c>
      <c r="D4" t="s">
        <v>2</v>
      </c>
    </row>
    <row r="5" spans="2:7" ht="15.75" thickBot="1" x14ac:dyDescent="0.3">
      <c r="C5">
        <v>50</v>
      </c>
      <c r="D5" t="s">
        <v>3</v>
      </c>
    </row>
    <row r="6" spans="2:7" ht="18.75" thickBot="1" x14ac:dyDescent="0.4">
      <c r="B6" s="1" t="s">
        <v>13</v>
      </c>
      <c r="C6" s="12">
        <f>C4+C5</f>
        <v>368.6</v>
      </c>
      <c r="D6" t="s">
        <v>4</v>
      </c>
    </row>
    <row r="8" spans="2:7" ht="18" x14ac:dyDescent="0.35">
      <c r="B8" t="s">
        <v>9</v>
      </c>
      <c r="C8" s="4" t="s">
        <v>8</v>
      </c>
      <c r="D8" t="s">
        <v>11</v>
      </c>
    </row>
    <row r="9" spans="2:7" ht="18.75" thickBot="1" x14ac:dyDescent="0.4">
      <c r="B9" t="s">
        <v>10</v>
      </c>
      <c r="C9" s="4" t="s">
        <v>7</v>
      </c>
      <c r="D9" t="s">
        <v>11</v>
      </c>
    </row>
    <row r="10" spans="2:7" ht="15.75" thickBot="1" x14ac:dyDescent="0.3">
      <c r="B10" s="3" t="s">
        <v>5</v>
      </c>
      <c r="C10" s="17">
        <v>4.0000000000000002E-4</v>
      </c>
    </row>
    <row r="11" spans="2:7" ht="15.75" thickBot="1" x14ac:dyDescent="0.3">
      <c r="B11" s="3" t="s">
        <v>6</v>
      </c>
      <c r="C11" s="18">
        <v>25</v>
      </c>
      <c r="D11" t="s">
        <v>12</v>
      </c>
    </row>
    <row r="12" spans="2:7" ht="18" x14ac:dyDescent="0.35">
      <c r="B12" s="1" t="s">
        <v>10</v>
      </c>
      <c r="C12" s="5">
        <f>C6*C10*C11</f>
        <v>3.6860000000000004</v>
      </c>
      <c r="D12" t="s">
        <v>11</v>
      </c>
    </row>
    <row r="13" spans="2:7" ht="18.75" thickBot="1" x14ac:dyDescent="0.4">
      <c r="B13" t="s">
        <v>15</v>
      </c>
      <c r="C13" s="2" t="s">
        <v>16</v>
      </c>
      <c r="D13" t="s">
        <v>11</v>
      </c>
      <c r="E13" s="6" t="s">
        <v>14</v>
      </c>
    </row>
    <row r="14" spans="2:7" ht="18.75" thickBot="1" x14ac:dyDescent="0.4">
      <c r="B14" s="1" t="s">
        <v>15</v>
      </c>
      <c r="C14" s="18">
        <f>IF(C6*0.005&lt;3,3,C6*0.005)</f>
        <v>3</v>
      </c>
      <c r="D14" t="s">
        <v>11</v>
      </c>
    </row>
    <row r="15" spans="2:7" ht="18.75" thickBot="1" x14ac:dyDescent="0.4">
      <c r="B15" t="s">
        <v>19</v>
      </c>
      <c r="C15" s="2" t="s">
        <v>17</v>
      </c>
      <c r="D15" t="s">
        <v>18</v>
      </c>
    </row>
    <row r="16" spans="2:7" ht="18.75" thickBot="1" x14ac:dyDescent="0.4">
      <c r="B16" s="1" t="s">
        <v>19</v>
      </c>
      <c r="C16" s="18">
        <f>0.9*3</f>
        <v>2.7</v>
      </c>
      <c r="D16" t="s">
        <v>18</v>
      </c>
    </row>
    <row r="17" spans="2:7" ht="18.75" thickBot="1" x14ac:dyDescent="0.4">
      <c r="B17" s="1" t="s">
        <v>20</v>
      </c>
      <c r="C17" s="17">
        <v>1.5</v>
      </c>
      <c r="D17" t="s">
        <v>18</v>
      </c>
    </row>
    <row r="18" spans="2:7" ht="15.75" thickBot="1" x14ac:dyDescent="0.3"/>
    <row r="19" spans="2:7" ht="18.75" thickBot="1" x14ac:dyDescent="0.4">
      <c r="B19" s="7" t="s">
        <v>9</v>
      </c>
      <c r="C19" s="19">
        <f>(C12+C14)*(C16+1)/(C16-C17)</f>
        <v>20.615166666666667</v>
      </c>
      <c r="D19" s="7" t="s">
        <v>21</v>
      </c>
    </row>
    <row r="20" spans="2:7" ht="15.75" thickBot="1" x14ac:dyDescent="0.3"/>
    <row r="21" spans="2:7" ht="15.75" thickBot="1" x14ac:dyDescent="0.3">
      <c r="B21" s="23" t="s">
        <v>51</v>
      </c>
      <c r="C21" s="24"/>
      <c r="D21" s="24"/>
      <c r="E21" s="24"/>
      <c r="F21" s="24"/>
      <c r="G21" s="25"/>
    </row>
  </sheetData>
  <mergeCells count="2">
    <mergeCell ref="B2:G2"/>
    <mergeCell ref="B21:G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39"/>
  <sheetViews>
    <sheetView zoomScale="85" zoomScaleNormal="85" workbookViewId="0">
      <selection activeCell="G5" sqref="G5"/>
    </sheetView>
  </sheetViews>
  <sheetFormatPr defaultRowHeight="15" x14ac:dyDescent="0.25"/>
  <cols>
    <col min="7" max="7" width="15.28515625" customWidth="1"/>
  </cols>
  <sheetData>
    <row r="2" spans="2:15" ht="18.75" x14ac:dyDescent="0.3">
      <c r="B2" s="22" t="s">
        <v>48</v>
      </c>
      <c r="C2" s="22"/>
      <c r="D2" s="22"/>
      <c r="E2" s="22"/>
      <c r="F2" s="22"/>
      <c r="G2" s="22"/>
    </row>
    <row r="3" spans="2:15" ht="15.75" thickBot="1" x14ac:dyDescent="0.3">
      <c r="B3" s="8" t="s">
        <v>52</v>
      </c>
      <c r="C3" s="7"/>
      <c r="D3" s="7"/>
    </row>
    <row r="4" spans="2:15" ht="18.75" thickBot="1" x14ac:dyDescent="0.4">
      <c r="B4" s="1" t="s">
        <v>27</v>
      </c>
      <c r="C4" s="12">
        <v>390</v>
      </c>
      <c r="D4" t="s">
        <v>30</v>
      </c>
      <c r="E4" t="s">
        <v>53</v>
      </c>
    </row>
    <row r="6" spans="2:15" x14ac:dyDescent="0.25">
      <c r="B6" s="7" t="s">
        <v>34</v>
      </c>
      <c r="C6" s="7"/>
      <c r="D6" s="7"/>
      <c r="E6" s="7"/>
      <c r="F6" s="7"/>
    </row>
    <row r="7" spans="2:15" x14ac:dyDescent="0.25">
      <c r="B7" s="9"/>
    </row>
    <row r="8" spans="2:15" x14ac:dyDescent="0.25">
      <c r="B8" s="9"/>
    </row>
    <row r="9" spans="2:15" x14ac:dyDescent="0.25">
      <c r="B9" s="9"/>
      <c r="N9">
        <v>50</v>
      </c>
      <c r="O9">
        <v>3.13</v>
      </c>
    </row>
    <row r="10" spans="2:15" x14ac:dyDescent="0.25">
      <c r="B10" s="9"/>
      <c r="N10">
        <v>55</v>
      </c>
      <c r="O10">
        <v>2.44</v>
      </c>
    </row>
    <row r="11" spans="2:15" x14ac:dyDescent="0.25">
      <c r="B11" s="9"/>
      <c r="N11">
        <v>60</v>
      </c>
      <c r="O11">
        <v>2</v>
      </c>
    </row>
    <row r="12" spans="2:15" ht="18.75" thickBot="1" x14ac:dyDescent="0.4">
      <c r="B12" t="s">
        <v>31</v>
      </c>
      <c r="C12" s="4" t="s">
        <v>32</v>
      </c>
      <c r="E12" t="s">
        <v>11</v>
      </c>
      <c r="N12">
        <v>65</v>
      </c>
      <c r="O12">
        <v>1.69</v>
      </c>
    </row>
    <row r="13" spans="2:15" ht="15.75" thickBot="1" x14ac:dyDescent="0.3">
      <c r="B13" s="1" t="s">
        <v>49</v>
      </c>
      <c r="C13" s="12">
        <v>1.29</v>
      </c>
    </row>
    <row r="14" spans="2:15" ht="18.75" thickBot="1" x14ac:dyDescent="0.4">
      <c r="B14" s="1" t="s">
        <v>31</v>
      </c>
      <c r="C14" s="13">
        <f>C13*C4/100</f>
        <v>5.0310000000000006</v>
      </c>
      <c r="D14" t="s">
        <v>21</v>
      </c>
      <c r="N14">
        <v>70</v>
      </c>
      <c r="O14">
        <v>1.45</v>
      </c>
    </row>
    <row r="15" spans="2:15" x14ac:dyDescent="0.25">
      <c r="N15">
        <v>75</v>
      </c>
      <c r="O15">
        <v>1.26</v>
      </c>
    </row>
    <row r="16" spans="2:15" x14ac:dyDescent="0.25">
      <c r="B16" s="7" t="s">
        <v>35</v>
      </c>
      <c r="C16" s="7"/>
      <c r="D16" s="7"/>
      <c r="E16" s="7"/>
      <c r="F16" s="7"/>
      <c r="N16">
        <v>80</v>
      </c>
      <c r="O16">
        <v>1.1200000000000001</v>
      </c>
    </row>
    <row r="17" spans="2:15" x14ac:dyDescent="0.25">
      <c r="B17" s="6" t="s">
        <v>36</v>
      </c>
      <c r="N17">
        <v>90</v>
      </c>
      <c r="O17">
        <v>1</v>
      </c>
    </row>
    <row r="18" spans="2:15" x14ac:dyDescent="0.25">
      <c r="B18" s="10" t="s">
        <v>37</v>
      </c>
    </row>
    <row r="24" spans="2:15" ht="15.75" thickBot="1" x14ac:dyDescent="0.3"/>
    <row r="25" spans="2:15" ht="18.75" thickBot="1" x14ac:dyDescent="0.4">
      <c r="B25" s="1" t="s">
        <v>38</v>
      </c>
      <c r="C25" s="12">
        <f>IF(C4*0.5/100&lt;3,3,C4*0.5/100)</f>
        <v>3</v>
      </c>
      <c r="D25" t="s">
        <v>11</v>
      </c>
    </row>
    <row r="26" spans="2:15" ht="15.75" thickBot="1" x14ac:dyDescent="0.3">
      <c r="B26" s="7" t="s">
        <v>39</v>
      </c>
      <c r="C26" s="7"/>
      <c r="D26" s="7"/>
      <c r="E26" s="7"/>
      <c r="F26" s="7"/>
    </row>
    <row r="27" spans="2:15" ht="18.75" thickBot="1" x14ac:dyDescent="0.4">
      <c r="B27" s="1" t="s">
        <v>40</v>
      </c>
      <c r="C27" s="12">
        <v>5.5</v>
      </c>
      <c r="D27" t="s">
        <v>18</v>
      </c>
    </row>
    <row r="28" spans="2:15" x14ac:dyDescent="0.25">
      <c r="B28" s="14" t="s">
        <v>41</v>
      </c>
      <c r="C28" s="14"/>
      <c r="D28" s="14"/>
      <c r="E28" s="14"/>
      <c r="F28" s="14"/>
    </row>
    <row r="36" spans="2:7" ht="15.75" thickBot="1" x14ac:dyDescent="0.3"/>
    <row r="37" spans="2:7" ht="18.75" thickBot="1" x14ac:dyDescent="0.4">
      <c r="B37" s="1" t="s">
        <v>42</v>
      </c>
      <c r="C37" s="15">
        <f>(C14+C25)*(C27+1)/(C27-4)</f>
        <v>34.801000000000002</v>
      </c>
      <c r="D37" t="s">
        <v>21</v>
      </c>
      <c r="E37" t="s">
        <v>50</v>
      </c>
    </row>
    <row r="38" spans="2:7" ht="15.75" thickBot="1" x14ac:dyDescent="0.3"/>
    <row r="39" spans="2:7" ht="15.75" thickBot="1" x14ac:dyDescent="0.3">
      <c r="B39" s="23" t="s">
        <v>51</v>
      </c>
      <c r="C39" s="24"/>
      <c r="D39" s="24"/>
      <c r="E39" s="24"/>
      <c r="F39" s="24"/>
      <c r="G39" s="25"/>
    </row>
  </sheetData>
  <mergeCells count="2">
    <mergeCell ref="B2:G2"/>
    <mergeCell ref="B39:G3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9"/>
  <sheetViews>
    <sheetView zoomScale="85" zoomScaleNormal="85" workbookViewId="0">
      <selection activeCell="F38" sqref="F38"/>
    </sheetView>
  </sheetViews>
  <sheetFormatPr defaultRowHeight="15" x14ac:dyDescent="0.25"/>
  <cols>
    <col min="7" max="7" width="15.28515625" customWidth="1"/>
  </cols>
  <sheetData>
    <row r="2" spans="2:15" ht="18.75" x14ac:dyDescent="0.3">
      <c r="B2" s="22" t="s">
        <v>48</v>
      </c>
      <c r="C2" s="22"/>
      <c r="D2" s="22"/>
      <c r="E2" s="22"/>
      <c r="F2" s="22"/>
      <c r="G2" s="22"/>
    </row>
    <row r="3" spans="2:15" ht="15.75" thickBot="1" x14ac:dyDescent="0.3">
      <c r="B3" s="8" t="s">
        <v>52</v>
      </c>
      <c r="C3" s="7"/>
      <c r="D3" s="7"/>
    </row>
    <row r="4" spans="2:15" ht="18.75" thickBot="1" x14ac:dyDescent="0.4">
      <c r="B4" s="1" t="s">
        <v>27</v>
      </c>
      <c r="C4" s="12">
        <v>300</v>
      </c>
      <c r="D4" t="s">
        <v>30</v>
      </c>
      <c r="E4" t="s">
        <v>54</v>
      </c>
    </row>
    <row r="6" spans="2:15" x14ac:dyDescent="0.25">
      <c r="B6" s="7" t="s">
        <v>34</v>
      </c>
      <c r="C6" s="7"/>
      <c r="D6" s="7"/>
      <c r="E6" s="7"/>
      <c r="F6" s="7"/>
    </row>
    <row r="7" spans="2:15" x14ac:dyDescent="0.25">
      <c r="B7" s="9"/>
    </row>
    <row r="8" spans="2:15" x14ac:dyDescent="0.25">
      <c r="B8" s="9"/>
    </row>
    <row r="9" spans="2:15" x14ac:dyDescent="0.25">
      <c r="B9" s="9"/>
      <c r="N9">
        <v>50</v>
      </c>
      <c r="O9">
        <v>3.13</v>
      </c>
    </row>
    <row r="10" spans="2:15" x14ac:dyDescent="0.25">
      <c r="B10" s="9"/>
      <c r="N10">
        <v>55</v>
      </c>
      <c r="O10">
        <v>2.44</v>
      </c>
    </row>
    <row r="11" spans="2:15" x14ac:dyDescent="0.25">
      <c r="B11" s="9"/>
      <c r="N11">
        <v>60</v>
      </c>
      <c r="O11">
        <v>2</v>
      </c>
    </row>
    <row r="12" spans="2:15" ht="18.75" thickBot="1" x14ac:dyDescent="0.4">
      <c r="B12" t="s">
        <v>31</v>
      </c>
      <c r="C12" s="4" t="s">
        <v>32</v>
      </c>
      <c r="E12" t="s">
        <v>11</v>
      </c>
      <c r="N12">
        <v>65</v>
      </c>
      <c r="O12">
        <v>1.69</v>
      </c>
    </row>
    <row r="13" spans="2:15" ht="15.75" thickBot="1" x14ac:dyDescent="0.3">
      <c r="B13" s="1" t="s">
        <v>49</v>
      </c>
      <c r="C13" s="12">
        <v>1.29</v>
      </c>
    </row>
    <row r="14" spans="2:15" ht="18.75" thickBot="1" x14ac:dyDescent="0.4">
      <c r="B14" s="1" t="s">
        <v>31</v>
      </c>
      <c r="C14" s="13">
        <f>C13*C4/100</f>
        <v>3.87</v>
      </c>
      <c r="D14" t="s">
        <v>21</v>
      </c>
      <c r="N14">
        <v>70</v>
      </c>
      <c r="O14">
        <v>1.45</v>
      </c>
    </row>
    <row r="15" spans="2:15" x14ac:dyDescent="0.25">
      <c r="N15">
        <v>75</v>
      </c>
      <c r="O15">
        <v>1.26</v>
      </c>
    </row>
    <row r="16" spans="2:15" x14ac:dyDescent="0.25">
      <c r="B16" s="7" t="s">
        <v>35</v>
      </c>
      <c r="C16" s="7"/>
      <c r="D16" s="7"/>
      <c r="E16" s="7"/>
      <c r="F16" s="7"/>
      <c r="N16">
        <v>80</v>
      </c>
      <c r="O16">
        <v>1.1200000000000001</v>
      </c>
    </row>
    <row r="17" spans="2:15" x14ac:dyDescent="0.25">
      <c r="B17" s="6" t="s">
        <v>36</v>
      </c>
      <c r="N17">
        <v>90</v>
      </c>
      <c r="O17">
        <v>1</v>
      </c>
    </row>
    <row r="18" spans="2:15" x14ac:dyDescent="0.25">
      <c r="B18" s="10" t="s">
        <v>37</v>
      </c>
    </row>
    <row r="24" spans="2:15" ht="15.75" thickBot="1" x14ac:dyDescent="0.3"/>
    <row r="25" spans="2:15" ht="18.75" thickBot="1" x14ac:dyDescent="0.4">
      <c r="B25" s="1" t="s">
        <v>38</v>
      </c>
      <c r="C25" s="12">
        <f>IF(C4*0.5/100&lt;3,3,C4*0.5/100)</f>
        <v>3</v>
      </c>
      <c r="D25" t="s">
        <v>11</v>
      </c>
    </row>
    <row r="26" spans="2:15" ht="15.75" thickBot="1" x14ac:dyDescent="0.3">
      <c r="B26" s="7" t="s">
        <v>39</v>
      </c>
      <c r="C26" s="7"/>
      <c r="D26" s="7"/>
      <c r="E26" s="7"/>
      <c r="F26" s="7"/>
    </row>
    <row r="27" spans="2:15" ht="18.75" thickBot="1" x14ac:dyDescent="0.4">
      <c r="B27" s="1" t="s">
        <v>40</v>
      </c>
      <c r="C27" s="12">
        <v>4.5</v>
      </c>
      <c r="D27" t="s">
        <v>18</v>
      </c>
    </row>
    <row r="28" spans="2:15" x14ac:dyDescent="0.25">
      <c r="B28" s="14" t="s">
        <v>41</v>
      </c>
      <c r="C28" s="14"/>
      <c r="D28" s="14"/>
      <c r="E28" s="14"/>
      <c r="F28" s="14"/>
    </row>
    <row r="36" spans="2:7" ht="15.75" thickBot="1" x14ac:dyDescent="0.3"/>
    <row r="37" spans="2:7" ht="18.75" thickBot="1" x14ac:dyDescent="0.4">
      <c r="B37" s="1" t="s">
        <v>42</v>
      </c>
      <c r="C37" s="15">
        <f>(C14+C25)*(C27+1)/(C27-F37)</f>
        <v>18.892500000000002</v>
      </c>
      <c r="D37" t="s">
        <v>21</v>
      </c>
      <c r="E37" s="20" t="s">
        <v>56</v>
      </c>
      <c r="F37" s="21">
        <v>2.5</v>
      </c>
      <c r="G37" s="5" t="s">
        <v>55</v>
      </c>
    </row>
    <row r="38" spans="2:7" ht="15.75" thickBot="1" x14ac:dyDescent="0.3"/>
    <row r="39" spans="2:7" ht="15.75" thickBot="1" x14ac:dyDescent="0.3">
      <c r="B39" s="23" t="s">
        <v>51</v>
      </c>
      <c r="C39" s="24"/>
      <c r="D39" s="24"/>
      <c r="E39" s="24"/>
      <c r="F39" s="24"/>
      <c r="G39" s="25"/>
    </row>
  </sheetData>
  <mergeCells count="2">
    <mergeCell ref="B2:G2"/>
    <mergeCell ref="B39:G3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47"/>
  <sheetViews>
    <sheetView topLeftCell="A25" zoomScale="85" zoomScaleNormal="85" workbookViewId="0">
      <selection activeCell="G29" sqref="G29"/>
    </sheetView>
  </sheetViews>
  <sheetFormatPr defaultRowHeight="15" x14ac:dyDescent="0.25"/>
  <cols>
    <col min="7" max="7" width="15.28515625" customWidth="1"/>
  </cols>
  <sheetData>
    <row r="2" spans="2:7" ht="18.75" x14ac:dyDescent="0.3">
      <c r="B2" s="22" t="s">
        <v>46</v>
      </c>
      <c r="C2" s="22"/>
      <c r="D2" s="22"/>
      <c r="E2" s="22"/>
      <c r="F2" s="22"/>
      <c r="G2" s="22"/>
    </row>
    <row r="3" spans="2:7" x14ac:dyDescent="0.25">
      <c r="B3" s="8" t="s">
        <v>23</v>
      </c>
      <c r="C3" s="7"/>
      <c r="D3" t="s">
        <v>24</v>
      </c>
    </row>
    <row r="4" spans="2:7" ht="15.75" thickBot="1" x14ac:dyDescent="0.3"/>
    <row r="5" spans="2:7" ht="15.75" thickBot="1" x14ac:dyDescent="0.3">
      <c r="B5" s="1" t="s">
        <v>25</v>
      </c>
      <c r="C5" s="1"/>
      <c r="D5" s="1"/>
      <c r="E5" s="1"/>
      <c r="F5" s="11">
        <v>20</v>
      </c>
      <c r="G5" t="s">
        <v>26</v>
      </c>
    </row>
    <row r="6" spans="2:7" ht="15.75" thickBot="1" x14ac:dyDescent="0.3">
      <c r="B6" s="1" t="s">
        <v>28</v>
      </c>
      <c r="C6" s="1"/>
      <c r="D6" s="1"/>
      <c r="E6" s="1"/>
      <c r="F6" s="12">
        <v>6.8</v>
      </c>
      <c r="G6" t="s">
        <v>29</v>
      </c>
    </row>
    <row r="7" spans="2:7" x14ac:dyDescent="0.25">
      <c r="B7" s="9"/>
      <c r="C7" s="9"/>
      <c r="D7" s="9"/>
      <c r="E7" s="9"/>
    </row>
    <row r="8" spans="2:7" x14ac:dyDescent="0.25">
      <c r="B8" s="9"/>
      <c r="C8" s="9"/>
      <c r="D8" s="9"/>
      <c r="E8" s="9"/>
    </row>
    <row r="9" spans="2:7" x14ac:dyDescent="0.25">
      <c r="B9" s="9"/>
      <c r="C9" s="9"/>
      <c r="D9" s="9"/>
      <c r="E9" s="9"/>
    </row>
    <row r="10" spans="2:7" ht="15.75" thickBot="1" x14ac:dyDescent="0.3">
      <c r="B10" s="9"/>
      <c r="C10" s="9"/>
      <c r="D10" s="9"/>
      <c r="E10" s="9"/>
    </row>
    <row r="11" spans="2:7" ht="18.75" thickBot="1" x14ac:dyDescent="0.4">
      <c r="B11" s="9" t="s">
        <v>44</v>
      </c>
      <c r="C11" s="16">
        <v>200</v>
      </c>
      <c r="D11" s="9" t="s">
        <v>43</v>
      </c>
      <c r="E11" s="9"/>
    </row>
    <row r="12" spans="2:7" ht="18.75" thickBot="1" x14ac:dyDescent="0.4">
      <c r="B12" s="1" t="s">
        <v>27</v>
      </c>
      <c r="C12" s="12">
        <f>F5*F6+C11</f>
        <v>336</v>
      </c>
      <c r="D12" t="s">
        <v>30</v>
      </c>
    </row>
    <row r="14" spans="2:7" x14ac:dyDescent="0.25">
      <c r="B14" s="7" t="s">
        <v>34</v>
      </c>
      <c r="C14" s="7"/>
      <c r="D14" s="7"/>
      <c r="E14" s="7"/>
      <c r="F14" s="7"/>
    </row>
    <row r="15" spans="2:7" x14ac:dyDescent="0.25">
      <c r="B15" s="9"/>
    </row>
    <row r="16" spans="2:7" x14ac:dyDescent="0.25">
      <c r="B16" s="9"/>
    </row>
    <row r="17" spans="2:15" x14ac:dyDescent="0.25">
      <c r="B17" s="9"/>
      <c r="N17">
        <v>50</v>
      </c>
      <c r="O17">
        <v>3.13</v>
      </c>
    </row>
    <row r="18" spans="2:15" x14ac:dyDescent="0.25">
      <c r="B18" s="9"/>
      <c r="N18">
        <v>55</v>
      </c>
      <c r="O18">
        <v>2.44</v>
      </c>
    </row>
    <row r="19" spans="2:15" x14ac:dyDescent="0.25">
      <c r="B19" s="9"/>
      <c r="N19">
        <v>60</v>
      </c>
      <c r="O19">
        <v>2</v>
      </c>
    </row>
    <row r="20" spans="2:15" ht="18.75" thickBot="1" x14ac:dyDescent="0.4">
      <c r="B20" t="s">
        <v>31</v>
      </c>
      <c r="C20" s="4" t="s">
        <v>32</v>
      </c>
      <c r="E20" t="s">
        <v>11</v>
      </c>
      <c r="N20">
        <v>65</v>
      </c>
      <c r="O20">
        <v>1.69</v>
      </c>
    </row>
    <row r="21" spans="2:15" ht="15.75" thickBot="1" x14ac:dyDescent="0.3">
      <c r="B21" s="1" t="s">
        <v>33</v>
      </c>
      <c r="C21" s="12">
        <f>(0.66+0.93)/2</f>
        <v>0.79500000000000004</v>
      </c>
    </row>
    <row r="22" spans="2:15" ht="18.75" thickBot="1" x14ac:dyDescent="0.4">
      <c r="B22" s="1" t="s">
        <v>31</v>
      </c>
      <c r="C22" s="13">
        <f>C21*C12/100</f>
        <v>2.6712000000000002</v>
      </c>
      <c r="D22" t="s">
        <v>21</v>
      </c>
      <c r="N22">
        <v>70</v>
      </c>
      <c r="O22">
        <v>1.45</v>
      </c>
    </row>
    <row r="23" spans="2:15" x14ac:dyDescent="0.25">
      <c r="N23">
        <v>75</v>
      </c>
      <c r="O23">
        <v>1.26</v>
      </c>
    </row>
    <row r="24" spans="2:15" x14ac:dyDescent="0.25">
      <c r="B24" s="7" t="s">
        <v>35</v>
      </c>
      <c r="C24" s="7"/>
      <c r="D24" s="7"/>
      <c r="E24" s="7"/>
      <c r="F24" s="7"/>
      <c r="N24">
        <v>80</v>
      </c>
      <c r="O24">
        <v>1.1200000000000001</v>
      </c>
    </row>
    <row r="25" spans="2:15" x14ac:dyDescent="0.25">
      <c r="B25" s="6" t="s">
        <v>36</v>
      </c>
      <c r="N25">
        <v>90</v>
      </c>
      <c r="O25">
        <v>1</v>
      </c>
    </row>
    <row r="26" spans="2:15" x14ac:dyDescent="0.25">
      <c r="B26" s="10" t="s">
        <v>37</v>
      </c>
    </row>
    <row r="32" spans="2:15" ht="15.75" thickBot="1" x14ac:dyDescent="0.3"/>
    <row r="33" spans="2:7" ht="18.75" thickBot="1" x14ac:dyDescent="0.4">
      <c r="B33" s="1" t="s">
        <v>38</v>
      </c>
      <c r="C33" s="12">
        <f>IF(C12*0.5/100&lt;3,3,C12*0.5/100)</f>
        <v>3</v>
      </c>
      <c r="D33" t="s">
        <v>11</v>
      </c>
    </row>
    <row r="34" spans="2:7" ht="15.75" thickBot="1" x14ac:dyDescent="0.3">
      <c r="B34" s="7" t="s">
        <v>39</v>
      </c>
      <c r="C34" s="7"/>
      <c r="D34" s="7"/>
      <c r="E34" s="7"/>
      <c r="F34" s="7"/>
    </row>
    <row r="35" spans="2:7" ht="18.75" thickBot="1" x14ac:dyDescent="0.4">
      <c r="B35" s="1" t="s">
        <v>40</v>
      </c>
      <c r="C35" s="12">
        <v>2.5</v>
      </c>
      <c r="D35" t="s">
        <v>18</v>
      </c>
    </row>
    <row r="36" spans="2:7" x14ac:dyDescent="0.25">
      <c r="B36" s="14" t="s">
        <v>41</v>
      </c>
      <c r="C36" s="14"/>
      <c r="D36" s="14"/>
      <c r="E36" s="14"/>
      <c r="F36" s="14"/>
    </row>
    <row r="44" spans="2:7" ht="15.75" thickBot="1" x14ac:dyDescent="0.3"/>
    <row r="45" spans="2:7" ht="18.75" thickBot="1" x14ac:dyDescent="0.4">
      <c r="B45" s="1" t="s">
        <v>42</v>
      </c>
      <c r="C45" s="15">
        <f>(C22+C33)*(C35+1)/(C35-1.5)</f>
        <v>19.849200000000003</v>
      </c>
      <c r="D45" t="s">
        <v>21</v>
      </c>
      <c r="E45" t="s">
        <v>45</v>
      </c>
    </row>
    <row r="46" spans="2:7" ht="15.75" thickBot="1" x14ac:dyDescent="0.3"/>
    <row r="47" spans="2:7" ht="15.75" thickBot="1" x14ac:dyDescent="0.3">
      <c r="B47" s="23" t="s">
        <v>22</v>
      </c>
      <c r="C47" s="24"/>
      <c r="D47" s="24"/>
      <c r="E47" s="24"/>
      <c r="F47" s="24"/>
      <c r="G47" s="25"/>
    </row>
  </sheetData>
  <mergeCells count="2">
    <mergeCell ref="B2:G2"/>
    <mergeCell ref="B47:G4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O47"/>
  <sheetViews>
    <sheetView workbookViewId="0">
      <selection activeCell="I39" sqref="I39"/>
    </sheetView>
  </sheetViews>
  <sheetFormatPr defaultRowHeight="15" x14ac:dyDescent="0.25"/>
  <cols>
    <col min="7" max="7" width="15.28515625" customWidth="1"/>
  </cols>
  <sheetData>
    <row r="2" spans="2:7" ht="18.75" x14ac:dyDescent="0.3">
      <c r="B2" s="22" t="s">
        <v>46</v>
      </c>
      <c r="C2" s="22"/>
      <c r="D2" s="22"/>
      <c r="E2" s="22"/>
      <c r="F2" s="22"/>
      <c r="G2" s="22"/>
    </row>
    <row r="3" spans="2:7" x14ac:dyDescent="0.25">
      <c r="B3" s="8" t="s">
        <v>23</v>
      </c>
      <c r="C3" s="7"/>
      <c r="D3" t="s">
        <v>24</v>
      </c>
    </row>
    <row r="4" spans="2:7" ht="15.75" thickBot="1" x14ac:dyDescent="0.3"/>
    <row r="5" spans="2:7" ht="15.75" thickBot="1" x14ac:dyDescent="0.3">
      <c r="B5" s="1" t="s">
        <v>25</v>
      </c>
      <c r="C5" s="1"/>
      <c r="D5" s="1"/>
      <c r="E5" s="1"/>
      <c r="F5" s="11">
        <v>20</v>
      </c>
      <c r="G5" t="s">
        <v>26</v>
      </c>
    </row>
    <row r="6" spans="2:7" ht="15.75" thickBot="1" x14ac:dyDescent="0.3">
      <c r="B6" s="1" t="s">
        <v>28</v>
      </c>
      <c r="C6" s="1"/>
      <c r="D6" s="1"/>
      <c r="E6" s="1"/>
      <c r="F6" s="12">
        <v>8.1</v>
      </c>
      <c r="G6" t="s">
        <v>29</v>
      </c>
    </row>
    <row r="7" spans="2:7" x14ac:dyDescent="0.25">
      <c r="B7" s="9"/>
      <c r="C7" s="9"/>
      <c r="D7" s="9"/>
      <c r="E7" s="9"/>
    </row>
    <row r="8" spans="2:7" x14ac:dyDescent="0.25">
      <c r="B8" s="9"/>
      <c r="C8" s="9"/>
      <c r="D8" s="9"/>
      <c r="E8" s="9"/>
    </row>
    <row r="9" spans="2:7" x14ac:dyDescent="0.25">
      <c r="B9" s="9"/>
      <c r="C9" s="9"/>
      <c r="D9" s="9"/>
      <c r="E9" s="9"/>
    </row>
    <row r="10" spans="2:7" ht="15.75" thickBot="1" x14ac:dyDescent="0.3">
      <c r="B10" s="9"/>
      <c r="C10" s="9"/>
      <c r="D10" s="9"/>
      <c r="E10" s="9"/>
    </row>
    <row r="11" spans="2:7" ht="18.75" thickBot="1" x14ac:dyDescent="0.4">
      <c r="B11" s="9" t="s">
        <v>44</v>
      </c>
      <c r="C11" s="16">
        <v>0</v>
      </c>
      <c r="D11" s="9" t="s">
        <v>43</v>
      </c>
      <c r="E11" s="9"/>
    </row>
    <row r="12" spans="2:7" ht="18.75" thickBot="1" x14ac:dyDescent="0.4">
      <c r="B12" s="1" t="s">
        <v>27</v>
      </c>
      <c r="C12" s="12">
        <f>F5*F6+C11</f>
        <v>162</v>
      </c>
      <c r="D12" t="s">
        <v>30</v>
      </c>
    </row>
    <row r="14" spans="2:7" x14ac:dyDescent="0.25">
      <c r="B14" s="7" t="s">
        <v>34</v>
      </c>
      <c r="C14" s="7"/>
      <c r="D14" s="7"/>
      <c r="E14" s="7"/>
      <c r="F14" s="7"/>
    </row>
    <row r="15" spans="2:7" x14ac:dyDescent="0.25">
      <c r="B15" s="9"/>
    </row>
    <row r="16" spans="2:7" x14ac:dyDescent="0.25">
      <c r="B16" s="9"/>
    </row>
    <row r="17" spans="2:15" x14ac:dyDescent="0.25">
      <c r="B17" s="9"/>
      <c r="N17">
        <v>50</v>
      </c>
      <c r="O17">
        <v>3.13</v>
      </c>
    </row>
    <row r="18" spans="2:15" x14ac:dyDescent="0.25">
      <c r="B18" s="9"/>
      <c r="N18">
        <v>55</v>
      </c>
      <c r="O18">
        <v>2.44</v>
      </c>
    </row>
    <row r="19" spans="2:15" x14ac:dyDescent="0.25">
      <c r="B19" s="9"/>
      <c r="N19">
        <v>60</v>
      </c>
      <c r="O19">
        <v>2</v>
      </c>
    </row>
    <row r="20" spans="2:15" ht="18.75" thickBot="1" x14ac:dyDescent="0.4">
      <c r="B20" t="s">
        <v>31</v>
      </c>
      <c r="C20" s="4" t="s">
        <v>32</v>
      </c>
      <c r="E20" t="s">
        <v>11</v>
      </c>
      <c r="N20">
        <v>65</v>
      </c>
      <c r="O20">
        <v>1.69</v>
      </c>
    </row>
    <row r="21" spans="2:15" ht="15.75" thickBot="1" x14ac:dyDescent="0.3">
      <c r="B21" s="1" t="s">
        <v>33</v>
      </c>
      <c r="C21" s="12">
        <f>(0.66+0.93)/2</f>
        <v>0.79500000000000004</v>
      </c>
    </row>
    <row r="22" spans="2:15" ht="18.75" thickBot="1" x14ac:dyDescent="0.4">
      <c r="B22" s="1" t="s">
        <v>31</v>
      </c>
      <c r="C22" s="13">
        <f>C21*C12/100</f>
        <v>1.2879000000000003</v>
      </c>
      <c r="D22" t="s">
        <v>21</v>
      </c>
      <c r="N22">
        <v>70</v>
      </c>
      <c r="O22">
        <v>1.45</v>
      </c>
    </row>
    <row r="23" spans="2:15" x14ac:dyDescent="0.25">
      <c r="N23">
        <v>75</v>
      </c>
      <c r="O23">
        <v>1.26</v>
      </c>
    </row>
    <row r="24" spans="2:15" x14ac:dyDescent="0.25">
      <c r="B24" s="7" t="s">
        <v>35</v>
      </c>
      <c r="C24" s="7"/>
      <c r="D24" s="7"/>
      <c r="E24" s="7"/>
      <c r="F24" s="7"/>
      <c r="N24">
        <v>80</v>
      </c>
      <c r="O24">
        <v>1.1200000000000001</v>
      </c>
    </row>
    <row r="25" spans="2:15" x14ac:dyDescent="0.25">
      <c r="B25" s="6" t="s">
        <v>36</v>
      </c>
      <c r="N25">
        <v>90</v>
      </c>
      <c r="O25">
        <v>1</v>
      </c>
    </row>
    <row r="26" spans="2:15" x14ac:dyDescent="0.25">
      <c r="B26" s="10" t="s">
        <v>37</v>
      </c>
    </row>
    <row r="32" spans="2:15" ht="15.75" thickBot="1" x14ac:dyDescent="0.3"/>
    <row r="33" spans="2:7" ht="18.75" thickBot="1" x14ac:dyDescent="0.4">
      <c r="B33" s="1" t="s">
        <v>38</v>
      </c>
      <c r="C33" s="12">
        <f>IF(C12*0.5/100&lt;3,3,C12*0.5/100)</f>
        <v>3</v>
      </c>
      <c r="D33" t="s">
        <v>11</v>
      </c>
    </row>
    <row r="34" spans="2:7" ht="15.75" thickBot="1" x14ac:dyDescent="0.3">
      <c r="B34" s="7" t="s">
        <v>39</v>
      </c>
      <c r="C34" s="7"/>
      <c r="D34" s="7"/>
      <c r="E34" s="7"/>
      <c r="F34" s="7"/>
    </row>
    <row r="35" spans="2:7" ht="18.75" thickBot="1" x14ac:dyDescent="0.4">
      <c r="B35" s="1" t="s">
        <v>40</v>
      </c>
      <c r="C35" s="12">
        <v>2.8</v>
      </c>
      <c r="D35" t="s">
        <v>18</v>
      </c>
    </row>
    <row r="36" spans="2:7" x14ac:dyDescent="0.25">
      <c r="B36" s="14" t="s">
        <v>41</v>
      </c>
      <c r="C36" s="14"/>
      <c r="D36" s="14"/>
      <c r="E36" s="14"/>
      <c r="F36" s="14"/>
    </row>
    <row r="44" spans="2:7" ht="15.75" thickBot="1" x14ac:dyDescent="0.3"/>
    <row r="45" spans="2:7" ht="18.75" thickBot="1" x14ac:dyDescent="0.4">
      <c r="B45" s="1" t="s">
        <v>42</v>
      </c>
      <c r="C45" s="15">
        <f>(C22+C33)*(C35+1)/(C35-F45)</f>
        <v>9.0522333333333336</v>
      </c>
      <c r="D45" t="s">
        <v>21</v>
      </c>
      <c r="E45" s="20" t="s">
        <v>56</v>
      </c>
      <c r="F45" s="21">
        <v>1</v>
      </c>
      <c r="G45" t="s">
        <v>55</v>
      </c>
    </row>
    <row r="46" spans="2:7" ht="15.75" thickBot="1" x14ac:dyDescent="0.3"/>
    <row r="47" spans="2:7" ht="15.75" thickBot="1" x14ac:dyDescent="0.3">
      <c r="B47" s="23" t="s">
        <v>57</v>
      </c>
      <c r="C47" s="24"/>
      <c r="D47" s="24"/>
      <c r="E47" s="24"/>
      <c r="F47" s="24"/>
      <c r="G47" s="25"/>
    </row>
  </sheetData>
  <mergeCells count="2">
    <mergeCell ref="B2:G2"/>
    <mergeCell ref="B47:G4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0169E-EC97-404E-8091-5FF090F93C80}">
  <dimension ref="A2:Q28"/>
  <sheetViews>
    <sheetView tabSelected="1" workbookViewId="0">
      <selection activeCell="K31" sqref="K31"/>
    </sheetView>
  </sheetViews>
  <sheetFormatPr defaultRowHeight="15" x14ac:dyDescent="0.25"/>
  <cols>
    <col min="4" max="4" width="9.140625" style="21"/>
    <col min="11" max="12" width="9.140625" style="21"/>
    <col min="13" max="13" width="9.140625" customWidth="1"/>
    <col min="14" max="17" width="9.140625" style="21"/>
  </cols>
  <sheetData>
    <row r="2" spans="2:17" x14ac:dyDescent="0.25">
      <c r="B2" s="27" t="s">
        <v>59</v>
      </c>
      <c r="C2" s="28"/>
      <c r="D2" s="27" t="s">
        <v>58</v>
      </c>
      <c r="E2" s="29" t="s">
        <v>62</v>
      </c>
      <c r="F2" s="28"/>
      <c r="G2" s="27" t="s">
        <v>60</v>
      </c>
      <c r="H2" s="29" t="s">
        <v>62</v>
      </c>
      <c r="I2" s="28"/>
      <c r="J2" s="27" t="s">
        <v>61</v>
      </c>
      <c r="K2" s="30" t="s">
        <v>62</v>
      </c>
      <c r="L2" s="30" t="s">
        <v>65</v>
      </c>
      <c r="M2" s="30" t="s">
        <v>64</v>
      </c>
      <c r="N2" s="30" t="s">
        <v>69</v>
      </c>
      <c r="O2" s="30" t="s">
        <v>69</v>
      </c>
      <c r="P2" s="30" t="s">
        <v>69</v>
      </c>
      <c r="Q2" s="30" t="s">
        <v>69</v>
      </c>
    </row>
    <row r="3" spans="2:17" x14ac:dyDescent="0.25">
      <c r="B3" s="27" t="s">
        <v>68</v>
      </c>
      <c r="C3" s="28"/>
      <c r="D3" s="27" t="s">
        <v>66</v>
      </c>
      <c r="E3" s="29" t="s">
        <v>67</v>
      </c>
      <c r="F3" s="28"/>
      <c r="G3" s="27" t="s">
        <v>66</v>
      </c>
      <c r="H3" s="29" t="s">
        <v>67</v>
      </c>
      <c r="I3" s="28"/>
      <c r="J3" s="27" t="s">
        <v>66</v>
      </c>
      <c r="K3" s="30" t="s">
        <v>67</v>
      </c>
      <c r="L3" s="30"/>
      <c r="M3" s="30"/>
      <c r="N3" s="27" t="s">
        <v>70</v>
      </c>
      <c r="O3" s="27" t="s">
        <v>74</v>
      </c>
      <c r="P3" s="27" t="s">
        <v>75</v>
      </c>
      <c r="Q3" s="27" t="s">
        <v>77</v>
      </c>
    </row>
    <row r="4" spans="2:17" x14ac:dyDescent="0.25">
      <c r="B4" s="27"/>
      <c r="C4" s="28"/>
      <c r="D4" s="27" t="s">
        <v>63</v>
      </c>
      <c r="E4" s="29"/>
      <c r="F4" s="28"/>
      <c r="G4" s="27" t="s">
        <v>63</v>
      </c>
      <c r="H4" s="28"/>
      <c r="I4" s="28"/>
      <c r="J4" s="27" t="s">
        <v>63</v>
      </c>
      <c r="K4" s="30" t="s">
        <v>63</v>
      </c>
      <c r="L4" s="30"/>
      <c r="M4" s="30" t="s">
        <v>11</v>
      </c>
      <c r="N4" s="30" t="s">
        <v>78</v>
      </c>
      <c r="O4" s="30" t="s">
        <v>78</v>
      </c>
      <c r="P4" s="30" t="s">
        <v>78</v>
      </c>
      <c r="Q4" s="30" t="s">
        <v>78</v>
      </c>
    </row>
    <row r="5" spans="2:17" x14ac:dyDescent="0.25">
      <c r="B5" s="26">
        <v>16</v>
      </c>
      <c r="D5" s="26"/>
      <c r="E5" s="21"/>
      <c r="G5" s="26"/>
      <c r="J5" s="26">
        <v>2.7</v>
      </c>
      <c r="K5" s="26">
        <f>B5-2*J5</f>
        <v>10.6</v>
      </c>
      <c r="L5" s="26">
        <v>10</v>
      </c>
      <c r="M5" s="31">
        <f>K5*K5*3.14/4/1000</f>
        <v>8.8202600000000006E-2</v>
      </c>
      <c r="N5" s="26">
        <v>63.4</v>
      </c>
      <c r="O5" s="26">
        <v>132.30000000000001</v>
      </c>
      <c r="P5" s="26">
        <v>224.3</v>
      </c>
      <c r="Q5" s="26">
        <v>338.7</v>
      </c>
    </row>
    <row r="6" spans="2:17" x14ac:dyDescent="0.25">
      <c r="B6" s="26">
        <v>20</v>
      </c>
      <c r="D6" s="26">
        <v>1.9</v>
      </c>
      <c r="E6" s="21"/>
      <c r="G6" s="26">
        <v>2.8</v>
      </c>
      <c r="J6" s="26">
        <v>3.4</v>
      </c>
      <c r="K6" s="26">
        <f>B6-2*J6</f>
        <v>13.2</v>
      </c>
      <c r="L6" s="26">
        <v>12</v>
      </c>
      <c r="M6" s="31">
        <f t="shared" ref="M6:M14" si="0">K6*K6*3.14/4/1000</f>
        <v>0.13677839999999997</v>
      </c>
      <c r="N6" s="26">
        <v>21.6</v>
      </c>
      <c r="O6" s="26">
        <v>45.4</v>
      </c>
      <c r="P6" s="26">
        <v>76.5</v>
      </c>
      <c r="Q6" s="26">
        <v>115</v>
      </c>
    </row>
    <row r="7" spans="2:17" x14ac:dyDescent="0.25">
      <c r="B7" s="26">
        <v>25</v>
      </c>
      <c r="D7" s="26">
        <v>2.2999999999999998</v>
      </c>
      <c r="E7" s="21"/>
      <c r="G7" s="26">
        <v>3.5</v>
      </c>
      <c r="J7" s="26">
        <v>4.2</v>
      </c>
      <c r="K7" s="26">
        <f>B7-2*J7</f>
        <v>16.600000000000001</v>
      </c>
      <c r="L7" s="26">
        <v>15</v>
      </c>
      <c r="M7" s="31">
        <f t="shared" si="0"/>
        <v>0.21631460000000005</v>
      </c>
      <c r="N7" s="26">
        <v>7.3</v>
      </c>
      <c r="O7" s="26">
        <v>15</v>
      </c>
      <c r="P7" s="26">
        <v>25.1</v>
      </c>
      <c r="Q7" s="26">
        <v>37.6</v>
      </c>
    </row>
    <row r="8" spans="2:17" x14ac:dyDescent="0.25">
      <c r="B8" s="26">
        <v>32</v>
      </c>
      <c r="D8" s="26">
        <v>2.9</v>
      </c>
      <c r="E8" s="21"/>
      <c r="G8" s="26">
        <v>4.4000000000000004</v>
      </c>
      <c r="J8" s="26">
        <v>5.4</v>
      </c>
      <c r="K8" s="26">
        <f>B8-2*J8</f>
        <v>21.2</v>
      </c>
      <c r="L8" s="26">
        <v>20</v>
      </c>
      <c r="M8" s="31">
        <f t="shared" si="0"/>
        <v>0.35281040000000002</v>
      </c>
      <c r="N8" s="26">
        <v>2.2999999999999998</v>
      </c>
      <c r="O8" s="26">
        <v>4.5999999999999996</v>
      </c>
      <c r="P8" s="26">
        <v>7.7</v>
      </c>
      <c r="Q8" s="26">
        <v>11.5</v>
      </c>
    </row>
    <row r="9" spans="2:17" x14ac:dyDescent="0.25">
      <c r="B9" s="26">
        <v>40</v>
      </c>
      <c r="D9" s="26">
        <v>3.7</v>
      </c>
      <c r="E9" s="21"/>
      <c r="G9" s="26">
        <v>5.5</v>
      </c>
      <c r="J9" s="26">
        <v>6.7</v>
      </c>
      <c r="K9" s="26">
        <f>B9-2*J9</f>
        <v>26.6</v>
      </c>
      <c r="L9" s="26">
        <v>25</v>
      </c>
      <c r="M9" s="31">
        <f t="shared" si="0"/>
        <v>0.5554346</v>
      </c>
      <c r="N9" s="26">
        <v>0.8</v>
      </c>
      <c r="O9" s="26">
        <v>1.6</v>
      </c>
      <c r="P9" s="26">
        <v>2.6</v>
      </c>
      <c r="Q9" s="26">
        <v>3.8</v>
      </c>
    </row>
    <row r="10" spans="2:17" x14ac:dyDescent="0.25">
      <c r="B10" s="26">
        <v>50</v>
      </c>
      <c r="D10" s="26">
        <v>4.5999999999999996</v>
      </c>
      <c r="E10" s="21"/>
      <c r="G10" s="26">
        <v>6.9</v>
      </c>
      <c r="J10" s="26">
        <v>8.3000000000000007</v>
      </c>
      <c r="K10" s="26">
        <f>B10-2*J10</f>
        <v>33.4</v>
      </c>
      <c r="L10" s="26">
        <v>32</v>
      </c>
      <c r="M10" s="31">
        <f t="shared" si="0"/>
        <v>0.87571460000000001</v>
      </c>
      <c r="N10" s="26">
        <v>0.3</v>
      </c>
      <c r="O10" s="26">
        <v>0.5</v>
      </c>
      <c r="P10" s="26">
        <v>0.9</v>
      </c>
      <c r="Q10" s="26">
        <v>1.3</v>
      </c>
    </row>
    <row r="11" spans="2:17" x14ac:dyDescent="0.25">
      <c r="B11" s="26">
        <v>63</v>
      </c>
      <c r="D11" s="26">
        <v>5.8</v>
      </c>
      <c r="E11" s="21"/>
      <c r="G11" s="26">
        <v>8.6</v>
      </c>
      <c r="J11" s="26">
        <v>10.5</v>
      </c>
      <c r="K11" s="26">
        <f>B11-2*J11</f>
        <v>42</v>
      </c>
      <c r="L11" s="26">
        <v>40</v>
      </c>
      <c r="M11" s="31">
        <f t="shared" si="0"/>
        <v>1.3847400000000001</v>
      </c>
      <c r="N11" s="26">
        <v>0.1</v>
      </c>
      <c r="O11" s="26">
        <v>0.2</v>
      </c>
      <c r="P11" s="26">
        <v>0.3</v>
      </c>
      <c r="Q11" s="26">
        <v>0.4</v>
      </c>
    </row>
    <row r="12" spans="2:17" x14ac:dyDescent="0.25">
      <c r="B12" s="26">
        <v>75</v>
      </c>
      <c r="D12" s="26">
        <v>6.8</v>
      </c>
      <c r="E12" s="21"/>
      <c r="G12" s="26">
        <v>10.3</v>
      </c>
      <c r="J12" s="26">
        <v>12.5</v>
      </c>
      <c r="K12" s="26">
        <f>B12-2*J12</f>
        <v>50</v>
      </c>
      <c r="L12" s="26">
        <v>50</v>
      </c>
      <c r="M12" s="31">
        <f t="shared" si="0"/>
        <v>1.9624999999999999</v>
      </c>
      <c r="N12" s="26"/>
      <c r="O12" s="26">
        <v>0.1</v>
      </c>
      <c r="P12" s="26">
        <v>0.1</v>
      </c>
      <c r="Q12" s="26">
        <v>0.2</v>
      </c>
    </row>
    <row r="13" spans="2:17" x14ac:dyDescent="0.25">
      <c r="B13" s="26">
        <v>90</v>
      </c>
      <c r="D13" s="26">
        <v>8.1999999999999993</v>
      </c>
      <c r="E13" s="21"/>
      <c r="G13" s="26">
        <v>12.3</v>
      </c>
      <c r="J13" s="26">
        <v>15</v>
      </c>
      <c r="K13" s="26">
        <f>B13-2*J13</f>
        <v>60</v>
      </c>
      <c r="L13" s="26">
        <v>60</v>
      </c>
      <c r="M13" s="31">
        <f t="shared" si="0"/>
        <v>2.8260000000000001</v>
      </c>
      <c r="N13" s="26"/>
      <c r="O13" s="26"/>
      <c r="P13" s="26">
        <v>0.1</v>
      </c>
      <c r="Q13" s="26">
        <v>0.1</v>
      </c>
    </row>
    <row r="14" spans="2:17" x14ac:dyDescent="0.25">
      <c r="B14" s="26">
        <v>110</v>
      </c>
      <c r="D14" s="26">
        <v>10</v>
      </c>
      <c r="E14" s="21"/>
      <c r="G14" s="26">
        <v>15.1</v>
      </c>
      <c r="J14" s="26">
        <v>18.3</v>
      </c>
      <c r="K14" s="26">
        <f>B14-2*J14</f>
        <v>73.400000000000006</v>
      </c>
      <c r="L14" s="26">
        <v>65</v>
      </c>
      <c r="M14" s="31">
        <f t="shared" si="0"/>
        <v>4.2292346000000007</v>
      </c>
      <c r="N14" s="26"/>
      <c r="O14" s="26"/>
      <c r="P14" s="26"/>
      <c r="Q14" s="26"/>
    </row>
    <row r="16" spans="2:17" x14ac:dyDescent="0.25">
      <c r="N16" s="21" t="s">
        <v>71</v>
      </c>
      <c r="O16" s="21" t="s">
        <v>72</v>
      </c>
      <c r="P16" s="21" t="s">
        <v>73</v>
      </c>
      <c r="Q16" s="21" t="s">
        <v>76</v>
      </c>
    </row>
    <row r="17" spans="1:10" x14ac:dyDescent="0.25">
      <c r="B17" t="s">
        <v>90</v>
      </c>
      <c r="G17" t="s">
        <v>89</v>
      </c>
    </row>
    <row r="19" spans="1:10" x14ac:dyDescent="0.25">
      <c r="B19" t="s">
        <v>81</v>
      </c>
      <c r="D19" s="33">
        <v>32</v>
      </c>
      <c r="G19" t="s">
        <v>81</v>
      </c>
      <c r="I19" s="33">
        <v>40</v>
      </c>
    </row>
    <row r="20" spans="1:10" x14ac:dyDescent="0.25">
      <c r="B20" t="s">
        <v>79</v>
      </c>
      <c r="D20" s="32">
        <v>8</v>
      </c>
      <c r="E20" t="s">
        <v>80</v>
      </c>
      <c r="G20" t="s">
        <v>79</v>
      </c>
      <c r="I20" s="32">
        <v>8</v>
      </c>
      <c r="J20" t="s">
        <v>80</v>
      </c>
    </row>
    <row r="21" spans="1:10" x14ac:dyDescent="0.25">
      <c r="B21" t="s">
        <v>82</v>
      </c>
      <c r="D21" s="33">
        <v>700</v>
      </c>
      <c r="E21" t="s">
        <v>83</v>
      </c>
      <c r="G21" t="s">
        <v>82</v>
      </c>
      <c r="I21" s="33">
        <v>700</v>
      </c>
      <c r="J21" t="s">
        <v>83</v>
      </c>
    </row>
    <row r="22" spans="1:10" x14ac:dyDescent="0.25">
      <c r="I22" s="21"/>
    </row>
    <row r="23" spans="1:10" x14ac:dyDescent="0.25">
      <c r="B23" t="s">
        <v>84</v>
      </c>
      <c r="D23" s="33">
        <f>D20*N8</f>
        <v>18.399999999999999</v>
      </c>
      <c r="E23" t="s">
        <v>85</v>
      </c>
      <c r="G23" t="s">
        <v>84</v>
      </c>
      <c r="I23" s="33">
        <f>I20*N9</f>
        <v>6.4</v>
      </c>
      <c r="J23" t="s">
        <v>85</v>
      </c>
    </row>
    <row r="24" spans="1:10" x14ac:dyDescent="0.25">
      <c r="A24" t="s">
        <v>71</v>
      </c>
      <c r="B24" t="s">
        <v>86</v>
      </c>
      <c r="D24" s="33">
        <f>1.4+1.2</f>
        <v>2.5999999999999996</v>
      </c>
      <c r="E24" t="s">
        <v>85</v>
      </c>
      <c r="G24" t="s">
        <v>86</v>
      </c>
      <c r="I24" s="33">
        <f>1.8*1000</f>
        <v>1800</v>
      </c>
      <c r="J24" t="s">
        <v>85</v>
      </c>
    </row>
    <row r="25" spans="1:10" ht="15.75" thickBot="1" x14ac:dyDescent="0.3"/>
    <row r="26" spans="1:10" ht="15.75" thickBot="1" x14ac:dyDescent="0.3">
      <c r="B26" t="s">
        <v>87</v>
      </c>
      <c r="D26" s="34">
        <f>D23+D24</f>
        <v>21</v>
      </c>
      <c r="E26" t="s">
        <v>85</v>
      </c>
      <c r="G26" t="s">
        <v>87</v>
      </c>
      <c r="I26" s="34">
        <f>I23+I24</f>
        <v>1806.4</v>
      </c>
      <c r="J26" t="s">
        <v>85</v>
      </c>
    </row>
    <row r="27" spans="1:10" x14ac:dyDescent="0.25">
      <c r="D27" s="21">
        <f>D26/10</f>
        <v>2.1</v>
      </c>
      <c r="E27" t="s">
        <v>88</v>
      </c>
      <c r="I27" s="21">
        <f>I26/10</f>
        <v>180.64000000000001</v>
      </c>
      <c r="J27" t="s">
        <v>88</v>
      </c>
    </row>
    <row r="28" spans="1:10" x14ac:dyDescent="0.25">
      <c r="D28" s="21">
        <f>D26/1000</f>
        <v>2.1000000000000001E-2</v>
      </c>
      <c r="E28" t="s">
        <v>18</v>
      </c>
      <c r="I28" s="21">
        <f>I26/1000</f>
        <v>1.8064</v>
      </c>
      <c r="J28" t="s">
        <v>18</v>
      </c>
    </row>
  </sheetData>
  <dataValidations count="1">
    <dataValidation type="list" allowBlank="1" showInputMessage="1" showErrorMessage="1" sqref="D19 I19" xr:uid="{027C2D3F-66DE-480B-B10F-555F8A6CD887}">
      <formula1>srednica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</vt:i4>
      </vt:variant>
    </vt:vector>
  </HeadingPairs>
  <TitlesOfParts>
    <vt:vector size="7" baseType="lpstr">
      <vt:lpstr>Dolne źródło</vt:lpstr>
      <vt:lpstr>CWU 390</vt:lpstr>
      <vt:lpstr>CWU 300</vt:lpstr>
      <vt:lpstr>CO z buforem</vt:lpstr>
      <vt:lpstr>CO bez bufora</vt:lpstr>
      <vt:lpstr>Rury</vt:lpstr>
      <vt:lpstr>srednica</vt:lpstr>
    </vt:vector>
  </TitlesOfParts>
  <Company>Viessmann Werke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Dawid_Pantera</dc:creator>
  <cp:lastModifiedBy>Dawid_Pantera</cp:lastModifiedBy>
  <dcterms:created xsi:type="dcterms:W3CDTF">2017-08-04T20:35:38Z</dcterms:created>
  <dcterms:modified xsi:type="dcterms:W3CDTF">2019-10-04T08:10:38Z</dcterms:modified>
</cp:coreProperties>
</file>