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80" yWindow="5025" windowWidth="20745" windowHeight="5145"/>
  </bookViews>
  <sheets>
    <sheet name="Koszty ogrzewania" sheetId="1" r:id="rId1"/>
    <sheet name="Wykres - Koszty ogrzewania" sheetId="4" r:id="rId2"/>
    <sheet name="Wykres - Cena 1 kWh" sheetId="5" r:id="rId3"/>
    <sheet name="Symulator - gaz ziemny" sheetId="6" r:id="rId4"/>
  </sheets>
  <definedNames>
    <definedName name="_xlnm.Print_Area" localSheetId="0">'Koszty ogrzewania'!$B$2:$M$43</definedName>
    <definedName name="_xlnm.Print_Area" localSheetId="3">'Symulator - gaz ziemny'!$B$2:$K$69</definedName>
  </definedNames>
  <calcPr calcId="125725"/>
</workbook>
</file>

<file path=xl/calcChain.xml><?xml version="1.0" encoding="utf-8"?>
<calcChain xmlns="http://schemas.openxmlformats.org/spreadsheetml/2006/main">
  <c r="K36" i="1"/>
  <c r="K33"/>
  <c r="Y46" l="1"/>
  <c r="D21"/>
  <c r="U38" l="1"/>
  <c r="U40" s="1"/>
  <c r="W44" s="1"/>
  <c r="W46" s="1"/>
  <c r="U41" l="1"/>
  <c r="F33" i="6" l="1"/>
  <c r="F32"/>
  <c r="F31"/>
  <c r="F30"/>
  <c r="F29"/>
  <c r="F28"/>
  <c r="F27"/>
  <c r="F26"/>
  <c r="F25"/>
  <c r="F24"/>
  <c r="F23"/>
  <c r="F22"/>
  <c r="C34"/>
  <c r="E33"/>
  <c r="E32"/>
  <c r="E31"/>
  <c r="E30"/>
  <c r="E29"/>
  <c r="E28"/>
  <c r="E27"/>
  <c r="E26"/>
  <c r="E25"/>
  <c r="E24"/>
  <c r="E23"/>
  <c r="E22"/>
  <c r="K43" i="1"/>
  <c r="K42"/>
  <c r="K41"/>
  <c r="K40"/>
  <c r="K39"/>
  <c r="K38"/>
  <c r="K37"/>
  <c r="K32"/>
  <c r="K34"/>
  <c r="K35"/>
  <c r="D20"/>
  <c r="J36" l="1"/>
  <c r="J33"/>
  <c r="L36"/>
  <c r="L33"/>
  <c r="L31"/>
  <c r="D31" s="1"/>
  <c r="K31" s="1"/>
  <c r="W43"/>
  <c r="J37" s="1"/>
  <c r="D23"/>
  <c r="L35" s="1"/>
  <c r="J31" l="1"/>
  <c r="L43"/>
  <c r="L37"/>
  <c r="L38"/>
  <c r="L29"/>
  <c r="L39"/>
  <c r="L28"/>
  <c r="D28" s="1"/>
  <c r="K28" s="1"/>
  <c r="J41"/>
  <c r="L30"/>
  <c r="D5" i="6" s="1"/>
  <c r="F5" s="1"/>
  <c r="J32" i="1"/>
  <c r="J42"/>
  <c r="J39"/>
  <c r="L40"/>
  <c r="J34"/>
  <c r="L34"/>
  <c r="J40"/>
  <c r="J35"/>
  <c r="L41"/>
  <c r="J43"/>
  <c r="L32"/>
  <c r="J38"/>
  <c r="L42"/>
  <c r="D29"/>
  <c r="K29" s="1"/>
  <c r="D30" l="1"/>
  <c r="K30" s="1"/>
  <c r="J28"/>
  <c r="J29"/>
  <c r="D29" i="6"/>
  <c r="D22"/>
  <c r="D27"/>
  <c r="D31"/>
  <c r="D32"/>
  <c r="D25"/>
  <c r="D26"/>
  <c r="D30"/>
  <c r="D23"/>
  <c r="D24"/>
  <c r="D28"/>
  <c r="D33"/>
  <c r="J30" i="1" l="1"/>
  <c r="H28" i="6"/>
  <c r="G28"/>
  <c r="H23"/>
  <c r="G23"/>
  <c r="H26"/>
  <c r="G26"/>
  <c r="H32"/>
  <c r="G32"/>
  <c r="H27"/>
  <c r="G27"/>
  <c r="H29"/>
  <c r="G29"/>
  <c r="H33"/>
  <c r="G33"/>
  <c r="H24"/>
  <c r="G24"/>
  <c r="H30"/>
  <c r="G30"/>
  <c r="H25"/>
  <c r="G25"/>
  <c r="H31"/>
  <c r="G31"/>
  <c r="H22"/>
  <c r="G22"/>
  <c r="D34"/>
  <c r="I22" l="1"/>
  <c r="J22" s="1"/>
  <c r="I31"/>
  <c r="J31" s="1"/>
  <c r="I25"/>
  <c r="J25" s="1"/>
  <c r="I30"/>
  <c r="J30" s="1"/>
  <c r="I24"/>
  <c r="J24" s="1"/>
  <c r="I33"/>
  <c r="J33" s="1"/>
  <c r="I29"/>
  <c r="J29" s="1"/>
  <c r="I27"/>
  <c r="J27" s="1"/>
  <c r="I32"/>
  <c r="J32" s="1"/>
  <c r="I26"/>
  <c r="J26" s="1"/>
  <c r="I23"/>
  <c r="J23" s="1"/>
  <c r="I28"/>
  <c r="J28" s="1"/>
  <c r="J34" l="1"/>
  <c r="J35" s="1"/>
</calcChain>
</file>

<file path=xl/sharedStrings.xml><?xml version="1.0" encoding="utf-8"?>
<sst xmlns="http://schemas.openxmlformats.org/spreadsheetml/2006/main" count="272" uniqueCount="176">
  <si>
    <t>Kalkulator kosztów ogrzewania</t>
  </si>
  <si>
    <t>Dane budynku</t>
  </si>
  <si>
    <t>Powierzchnia ogrzewana:</t>
  </si>
  <si>
    <t>Rodazj budynku:</t>
  </si>
  <si>
    <t>Liczba mieszkańców:</t>
  </si>
  <si>
    <t>[m2]</t>
  </si>
  <si>
    <t>[osoby]</t>
  </si>
  <si>
    <t>[kWh/m2rok]</t>
  </si>
  <si>
    <t>Temperatura zimnej wody (wodociągowej):</t>
  </si>
  <si>
    <t>[stC]</t>
  </si>
  <si>
    <t>Liczba dni korzystania z c.w.u.:</t>
  </si>
  <si>
    <t>Wymagana temperatura c.w.u.:</t>
  </si>
  <si>
    <t>[dni/rok]</t>
  </si>
  <si>
    <t>[litr/osobę*dzień]</t>
  </si>
  <si>
    <t xml:space="preserve">Zapotrzebowanie na ciepło </t>
  </si>
  <si>
    <t>[kWh/rok]</t>
  </si>
  <si>
    <t>[-]</t>
  </si>
  <si>
    <t>Całkowite zapotrzebowanie na ciepło, Q =</t>
  </si>
  <si>
    <t>kocioł starego typu</t>
  </si>
  <si>
    <t>kocioł tradycyjny</t>
  </si>
  <si>
    <t>kocioł kondensacyjny</t>
  </si>
  <si>
    <t>Olej opałowy</t>
  </si>
  <si>
    <t>Energia elektr.</t>
  </si>
  <si>
    <t>pompa ciepła - powietrzna</t>
  </si>
  <si>
    <t>pompa ciepła - gruntowa</t>
  </si>
  <si>
    <t>Drewno</t>
  </si>
  <si>
    <t>Paliwo/energia</t>
  </si>
  <si>
    <t>z podajnikiem, "ekogroszek"</t>
  </si>
  <si>
    <t>[zł/m3]</t>
  </si>
  <si>
    <t>[zł/litr]</t>
  </si>
  <si>
    <t>[zł/kWh]</t>
  </si>
  <si>
    <t>[zł/m.p.]</t>
  </si>
  <si>
    <t>[zł/tonę]</t>
  </si>
  <si>
    <t>[kWh/m3]</t>
  </si>
  <si>
    <t>[kWh/litr]</t>
  </si>
  <si>
    <t>[kWh/kg]</t>
  </si>
  <si>
    <t>[%]</t>
  </si>
  <si>
    <t>Koszt ogrzewania</t>
  </si>
  <si>
    <t>[zł brutto/rok]</t>
  </si>
  <si>
    <t>[zł brutto/kWh]</t>
  </si>
  <si>
    <t>[m3/rok]</t>
  </si>
  <si>
    <t>grzejniki akumulacyjne</t>
  </si>
  <si>
    <r>
      <t xml:space="preserve">Współczynnik zapotrzebowania na ciepło, </t>
    </r>
    <r>
      <rPr>
        <b/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 xml:space="preserve"> =</t>
    </r>
  </si>
  <si>
    <r>
      <t xml:space="preserve">do ogrzewania budynku, </t>
    </r>
    <r>
      <rPr>
        <b/>
        <sz val="10"/>
        <color theme="1"/>
        <rFont val="Arial"/>
        <family val="2"/>
        <charset val="238"/>
      </rPr>
      <t>Qco =</t>
    </r>
  </si>
  <si>
    <r>
      <t xml:space="preserve">do ogrzewania c.w.u.,  </t>
    </r>
    <r>
      <rPr>
        <b/>
        <sz val="10"/>
        <color theme="1"/>
        <rFont val="Arial"/>
        <family val="2"/>
        <charset val="238"/>
      </rPr>
      <t>Qcwu =</t>
    </r>
  </si>
  <si>
    <r>
      <t>Sprawność</t>
    </r>
    <r>
      <rPr>
        <sz val="10"/>
        <color theme="1"/>
        <rFont val="Arial"/>
        <family val="2"/>
        <charset val="238"/>
      </rPr>
      <t xml:space="preserve"> </t>
    </r>
  </si>
  <si>
    <t>Wartość opałowa</t>
  </si>
  <si>
    <t>Koszt 1 kWh</t>
  </si>
  <si>
    <t>[litr/rok]</t>
  </si>
  <si>
    <t>[ton/rok]</t>
  </si>
  <si>
    <t>[m.p./rok]</t>
  </si>
  <si>
    <t>Nowy dom jednorodzinny</t>
  </si>
  <si>
    <t xml:space="preserve"> - dom budowany obecnie:</t>
  </si>
  <si>
    <t>80 - 120</t>
  </si>
  <si>
    <t xml:space="preserve"> - dom energooszczędny:</t>
  </si>
  <si>
    <t xml:space="preserve"> - dom pasywny:</t>
  </si>
  <si>
    <t>10 - 15</t>
  </si>
  <si>
    <t>140 - 160</t>
  </si>
  <si>
    <t>170 - 200</t>
  </si>
  <si>
    <t xml:space="preserve"> - starszy dom - ocieplony:</t>
  </si>
  <si>
    <t xml:space="preserve"> - starszy dom - bez ocieplenia:</t>
  </si>
  <si>
    <t xml:space="preserve">Węgiel </t>
  </si>
  <si>
    <t>LPG</t>
  </si>
  <si>
    <t>(SPF, JAZ)</t>
  </si>
  <si>
    <t xml:space="preserve"> - nowy dom: 4</t>
  </si>
  <si>
    <t xml:space="preserve"> - starszy budynek: 3,5</t>
  </si>
  <si>
    <t xml:space="preserve"> - nowy dom: 3</t>
  </si>
  <si>
    <t xml:space="preserve"> - starszy budynek: 2,6</t>
  </si>
  <si>
    <t xml:space="preserve"> - w ciągu roku mamy 365 dni</t>
  </si>
  <si>
    <r>
      <rPr>
        <b/>
        <sz val="10"/>
        <color theme="1"/>
        <rFont val="Arial"/>
        <family val="2"/>
        <charset val="238"/>
      </rPr>
      <t>SPF (JAZ)</t>
    </r>
    <r>
      <rPr>
        <sz val="10"/>
        <color theme="1"/>
        <rFont val="Arial"/>
        <family val="2"/>
        <charset val="238"/>
      </rPr>
      <t xml:space="preserve"> pompy ciepła - propozycja</t>
    </r>
  </si>
  <si>
    <t>kocioł na drewno - buk</t>
  </si>
  <si>
    <t>kocioł na pelet</t>
  </si>
  <si>
    <t>Uwagi :</t>
  </si>
  <si>
    <r>
      <t xml:space="preserve">Wielkości </t>
    </r>
    <r>
      <rPr>
        <b/>
        <sz val="10"/>
        <color theme="9" tint="-0.249977111117893"/>
        <rFont val="Arial"/>
        <family val="2"/>
        <charset val="238"/>
      </rPr>
      <t xml:space="preserve">kolorową czcionką </t>
    </r>
    <r>
      <rPr>
        <sz val="10"/>
        <color theme="1"/>
        <rFont val="Arial"/>
        <family val="2"/>
        <charset val="238"/>
      </rPr>
      <t>można zmieniać</t>
    </r>
  </si>
  <si>
    <r>
      <rPr>
        <b/>
        <sz val="10"/>
        <color theme="1"/>
        <rFont val="Arial"/>
        <family val="2"/>
        <charset val="238"/>
      </rPr>
      <t>Gaz płynny (LPG)</t>
    </r>
    <r>
      <rPr>
        <sz val="10"/>
        <color theme="1"/>
        <rFont val="Arial"/>
        <family val="2"/>
        <charset val="238"/>
      </rPr>
      <t xml:space="preserve"> - propan</t>
    </r>
  </si>
  <si>
    <t>30 - 70</t>
  </si>
  <si>
    <t>Koszt paliwa</t>
  </si>
  <si>
    <r>
      <t xml:space="preserve">Zużycie ciepłej wody użytkowej (c.w.u.): </t>
    </r>
    <r>
      <rPr>
        <sz val="10"/>
        <rFont val="Arial"/>
        <family val="2"/>
        <charset val="238"/>
      </rPr>
      <t>30 - 80 litrów/osobę dobę,</t>
    </r>
  </si>
  <si>
    <r>
      <t xml:space="preserve">Zapotrzebowanie na ciepło budynku, k </t>
    </r>
    <r>
      <rPr>
        <sz val="10"/>
        <color theme="1"/>
        <rFont val="Arial"/>
        <family val="2"/>
        <charset val="238"/>
      </rPr>
      <t>(proponowane wielkości):</t>
    </r>
  </si>
  <si>
    <t>(całkowity, brutto)</t>
  </si>
  <si>
    <r>
      <rPr>
        <b/>
        <sz val="10"/>
        <color theme="1"/>
        <rFont val="Arial"/>
        <family val="2"/>
        <charset val="238"/>
      </rPr>
      <t>Sprawność kotłów</t>
    </r>
    <r>
      <rPr>
        <sz val="10"/>
        <color theme="1"/>
        <rFont val="Arial"/>
        <family val="2"/>
        <charset val="238"/>
      </rPr>
      <t xml:space="preserve"> - średnioroczne, w odniesieniu do wartości opałowej paliwa</t>
    </r>
  </si>
  <si>
    <t>Symulacja kosztów ogrzewania gazem ziemnym</t>
  </si>
  <si>
    <t>[zł netto/m-c]</t>
  </si>
  <si>
    <t>Opłata abonamentowa :</t>
  </si>
  <si>
    <t>Cena gazu :</t>
  </si>
  <si>
    <t>Szacunkowe miesięczne koszty ogrzewania</t>
  </si>
  <si>
    <t>Taryfa 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</si>
  <si>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</si>
  <si>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</si>
  <si>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</si>
  <si>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</si>
  <si>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</si>
  <si>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</si>
  <si>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</si>
  <si>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</si>
  <si>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</si>
  <si>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Miesiąc</t>
  </si>
  <si>
    <t>Zużycie gazu</t>
  </si>
  <si>
    <t>X</t>
  </si>
  <si>
    <t>XII</t>
  </si>
  <si>
    <t>XI</t>
  </si>
  <si>
    <t>Opłata abon.</t>
  </si>
  <si>
    <t>Faktura za gaz</t>
  </si>
  <si>
    <t>[m3]</t>
  </si>
  <si>
    <t>[zł netto]</t>
  </si>
  <si>
    <r>
      <t>[</t>
    </r>
    <r>
      <rPr>
        <b/>
        <sz val="10"/>
        <rFont val="Arial"/>
        <family val="2"/>
        <charset val="238"/>
      </rPr>
      <t>zł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brutto</t>
    </r>
    <r>
      <rPr>
        <sz val="10"/>
        <rFont val="Arial"/>
        <family val="2"/>
        <charset val="238"/>
      </rPr>
      <t>]</t>
    </r>
  </si>
  <si>
    <r>
      <rPr>
        <b/>
        <sz val="10"/>
        <color theme="1"/>
        <rFont val="Arial"/>
        <family val="2"/>
        <charset val="238"/>
      </rPr>
      <t>Pompa ciepła powietrzna</t>
    </r>
    <r>
      <rPr>
        <sz val="10"/>
        <color theme="1"/>
        <rFont val="Arial"/>
        <family val="2"/>
        <charset val="238"/>
      </rPr>
      <t xml:space="preserve"> - taryfa G11; dodatkowe źródło ciepła - grzałka elektryczna</t>
    </r>
  </si>
  <si>
    <r>
      <t xml:space="preserve">Grzejniki akumulacyjne </t>
    </r>
    <r>
      <rPr>
        <sz val="10"/>
        <color theme="1"/>
        <rFont val="Arial"/>
        <family val="2"/>
        <charset val="238"/>
      </rPr>
      <t>- taryfa G12 noc/dzień: 80%/20%</t>
    </r>
  </si>
  <si>
    <r>
      <rPr>
        <b/>
        <sz val="10"/>
        <color theme="1"/>
        <rFont val="Arial"/>
        <family val="2"/>
        <charset val="238"/>
      </rPr>
      <t>Pompa ciepła gruntowa</t>
    </r>
    <r>
      <rPr>
        <sz val="10"/>
        <color theme="1"/>
        <rFont val="Arial"/>
        <family val="2"/>
        <charset val="238"/>
      </rPr>
      <t xml:space="preserve"> - taryfa G12 noc/dzień: 60%/40%; pompa ciepła pokrywa całkowite zpotrzebowanie na ciepło do ogrzewania budynku</t>
    </r>
  </si>
  <si>
    <r>
      <t>Całkowity koszt jednostkowy gazu</t>
    </r>
    <r>
      <rPr>
        <sz val="10"/>
        <rFont val="Arial"/>
        <family val="2"/>
        <charset val="238"/>
      </rPr>
      <t xml:space="preserve"> [zł brutto/m3 rok]</t>
    </r>
    <r>
      <rPr>
        <b/>
        <sz val="10"/>
        <rFont val="Arial"/>
        <family val="2"/>
        <charset val="238"/>
      </rPr>
      <t xml:space="preserve"> :</t>
    </r>
  </si>
  <si>
    <t>SUMA :</t>
  </si>
  <si>
    <t>Gaz ziemny</t>
  </si>
  <si>
    <t xml:space="preserve">Sprzedawca gazu: </t>
  </si>
  <si>
    <t>Zużycie gazu ziemnego:</t>
  </si>
  <si>
    <t>Uwaga :</t>
  </si>
  <si>
    <r>
      <rPr>
        <b/>
        <sz val="10"/>
        <color theme="1"/>
        <rFont val="Arial"/>
        <family val="2"/>
        <charset val="238"/>
      </rPr>
      <t>Gaz ziemny</t>
    </r>
    <r>
      <rPr>
        <sz val="10"/>
        <color theme="1"/>
        <rFont val="Arial"/>
        <family val="2"/>
        <charset val="238"/>
      </rPr>
      <t xml:space="preserve"> - GZ-50 ( E )</t>
    </r>
  </si>
  <si>
    <r>
      <rPr>
        <b/>
        <sz val="10"/>
        <color theme="1"/>
        <rFont val="Arial"/>
        <family val="2"/>
        <charset val="238"/>
      </rPr>
      <t>Koszt gazu ziemnego -</t>
    </r>
    <r>
      <rPr>
        <sz val="10"/>
        <color theme="1"/>
        <rFont val="Arial"/>
        <family val="2"/>
        <charset val="238"/>
      </rPr>
      <t xml:space="preserve"> obliczany w arkuszu: Symulator - gaz ziemny</t>
    </r>
  </si>
  <si>
    <r>
      <rPr>
        <b/>
        <sz val="10"/>
        <color theme="1"/>
        <rFont val="Arial"/>
        <family val="2"/>
        <charset val="238"/>
      </rPr>
      <t>Zużycie c.w.u.</t>
    </r>
    <r>
      <rPr>
        <sz val="10"/>
        <color theme="1"/>
        <rFont val="Arial"/>
        <family val="2"/>
        <charset val="238"/>
      </rPr>
      <t xml:space="preserve"> :</t>
    </r>
  </si>
  <si>
    <t>Kolektory słoneczne do c.w.u.:</t>
  </si>
  <si>
    <t>Stopień pokrycia zapotrzebowania na ciepło:</t>
  </si>
  <si>
    <t>Straty ciepła instalacji c.w.u.:</t>
  </si>
  <si>
    <t>Straty cyrkulacji i postojowe zbiornika c.w.u.:</t>
  </si>
  <si>
    <t>Kocioł miałowy + grzałka elektryczna do c.w.u.:</t>
  </si>
  <si>
    <t>Qcwu=</t>
  </si>
  <si>
    <t>[kWh/m-c]</t>
  </si>
  <si>
    <t>grzałka pracuje:</t>
  </si>
  <si>
    <t>miesięcy w roku</t>
  </si>
  <si>
    <t>zużycie pradu przez grzałkę:</t>
  </si>
  <si>
    <t>kocioł - c.w.u.:</t>
  </si>
  <si>
    <t>kocioł miałowy+grzałka elektryczna</t>
  </si>
  <si>
    <t>Zużycie pradu przez grzałkę elektryczną:</t>
  </si>
  <si>
    <t>Koszt energii elektrycznej:</t>
  </si>
  <si>
    <t>Zapotrzebowanie na ciepło - c.o. i c.w.u.:</t>
  </si>
  <si>
    <t>[zł brutto], za:</t>
  </si>
  <si>
    <t>Koszt ogrzewania c.w.u.grzałką:</t>
  </si>
  <si>
    <t xml:space="preserve"> - 2 tygodnie urlopu - można przyjąć do obliczeń: 351 dni w roku</t>
  </si>
  <si>
    <t>do wstępnych obliczeń proponuję przyjąć: 60-70 litrów/osobę dobę</t>
  </si>
  <si>
    <t>Współczynnik konwersji:</t>
  </si>
  <si>
    <r>
      <t>Normatywny współczynnik konwersji</t>
    </r>
    <r>
      <rPr>
        <sz val="10"/>
        <rFont val="Arial"/>
        <family val="2"/>
        <charset val="238"/>
      </rPr>
      <t xml:space="preserve"> - służy do przeliczania ilości paliwa gazowego [m3] </t>
    </r>
  </si>
  <si>
    <t>na ilość dostarczonej z paliwem energii [kWh]; zależy od jakości gazu (jego ciepła spalania)</t>
  </si>
  <si>
    <t xml:space="preserve"> i może się zmieniać - co uwzględniać będzie wysokość rachunku za gaz.</t>
  </si>
  <si>
    <t>Opłata dystrybucyjna stała :</t>
  </si>
  <si>
    <t>[gr netto/kWh]</t>
  </si>
  <si>
    <t>Opłata dystrybucyjna zmienna :</t>
  </si>
  <si>
    <t>[m3/rok]      =</t>
  </si>
  <si>
    <t>Opłata dys. stała</t>
  </si>
  <si>
    <t>Cena gazu</t>
  </si>
  <si>
    <t>Wartość rachunku</t>
  </si>
  <si>
    <t>Ceny jednostkowe gazu (netto):</t>
  </si>
  <si>
    <t>[zł.netto]</t>
  </si>
  <si>
    <t>Opłata dys. zmi.</t>
  </si>
  <si>
    <t>kocioł kondensacyjny+solary</t>
  </si>
  <si>
    <t>Koszty ogrzewania :</t>
  </si>
  <si>
    <t>Zużycie paliwa</t>
  </si>
  <si>
    <t xml:space="preserve">               rachunki "miesięczne" na podstawie ilości zużytego gazu (9 odczytów licznika w roku)</t>
  </si>
  <si>
    <t>(bez kolektorów słonecznych):</t>
  </si>
  <si>
    <r>
      <t xml:space="preserve">Odczytane z tabeli dla </t>
    </r>
    <r>
      <rPr>
        <b/>
        <sz val="10"/>
        <rFont val="Arial"/>
        <family val="2"/>
        <charset val="238"/>
      </rPr>
      <t>kotła kondensacyjnego</t>
    </r>
    <r>
      <rPr>
        <sz val="10"/>
        <rFont val="Arial"/>
        <family val="2"/>
        <charset val="238"/>
      </rPr>
      <t>, w arkuszu "Koszty ogrzewania"</t>
    </r>
  </si>
  <si>
    <t xml:space="preserve"> od efektywności danego urządzenia:</t>
  </si>
  <si>
    <r>
      <t xml:space="preserve">Pompa ciepła </t>
    </r>
    <r>
      <rPr>
        <b/>
        <sz val="10"/>
        <color theme="1"/>
        <rFont val="Arial"/>
        <family val="2"/>
        <charset val="238"/>
      </rPr>
      <t>gruntowa</t>
    </r>
    <r>
      <rPr>
        <sz val="10"/>
        <color theme="1"/>
        <rFont val="Arial"/>
        <family val="2"/>
        <charset val="238"/>
      </rPr>
      <t>:</t>
    </r>
  </si>
  <si>
    <r>
      <t xml:space="preserve">Pompa ciepła </t>
    </r>
    <r>
      <rPr>
        <b/>
        <sz val="10"/>
        <color theme="1"/>
        <rFont val="Arial"/>
        <family val="2"/>
        <charset val="238"/>
      </rPr>
      <t>powietrzna</t>
    </r>
    <r>
      <rPr>
        <sz val="10"/>
        <color theme="1"/>
        <rFont val="Arial"/>
        <family val="2"/>
        <charset val="238"/>
      </rPr>
      <t xml:space="preserve"> - w dużym stopniu zalezności</t>
    </r>
  </si>
  <si>
    <t>http://ure.gov.pl/ftp/ure-kalkulator/ure/formularz_kalkulator_html.php</t>
  </si>
  <si>
    <t xml:space="preserve"> i ilości zużywanego pradu </t>
  </si>
  <si>
    <t>DUON</t>
  </si>
  <si>
    <t>HD-2</t>
  </si>
  <si>
    <t>Odpowiednie taryfy w zależności od sprzedawcy i zużycia gazu, np., dla firmy DUON:</t>
  </si>
  <si>
    <t>HD-2 - roczna ilość zużywanego gazu od 1200 do 8000 m3,</t>
  </si>
  <si>
    <t>SCOP instalacji - Kalkulator PORT PC</t>
  </si>
  <si>
    <t>(Polska Organizacja Rozwoju Technologii Pom ciepła)</t>
  </si>
  <si>
    <t>Uwaga: Kalkulator uwzglednia w obliczeniach konkretną pompę ciepła</t>
  </si>
  <si>
    <t>danego producenta (typ pompy i jej moc grzewczą oraz tryb pracy)</t>
  </si>
  <si>
    <t xml:space="preserve">Link do kalkulatora: </t>
  </si>
  <si>
    <r>
      <rPr>
        <b/>
        <sz val="11"/>
        <color theme="1"/>
        <rFont val="Arial"/>
        <family val="2"/>
        <charset val="238"/>
      </rPr>
      <t>Cena energii elektrycznej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zależy od sprzedawcy prądu, taryfy</t>
    </r>
  </si>
  <si>
    <r>
      <t xml:space="preserve">Ceny energii elektrycznej można ustalić </t>
    </r>
    <r>
      <rPr>
        <b/>
        <sz val="10"/>
        <color theme="1"/>
        <rFont val="Arial"/>
        <family val="2"/>
        <charset val="238"/>
      </rPr>
      <t>Kalkulatorem URE</t>
    </r>
    <r>
      <rPr>
        <sz val="10"/>
        <color theme="1"/>
        <rFont val="Arial"/>
        <family val="2"/>
        <charset val="238"/>
      </rPr>
      <t xml:space="preserve">: </t>
    </r>
  </si>
  <si>
    <t>http://portpc.pl/kalkulator-scop/</t>
  </si>
  <si>
    <r>
      <t xml:space="preserve">Aktualizacja cen paliw i energii : </t>
    </r>
    <r>
      <rPr>
        <b/>
        <sz val="10"/>
        <color rgb="FFFF0000"/>
        <rFont val="Arial"/>
        <family val="2"/>
        <charset val="238"/>
      </rPr>
      <t>08.2016r.</t>
    </r>
  </si>
  <si>
    <t>wersja 06KG-08/2016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</si>
</sst>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22"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C35D09"/>
      <name val="Arial"/>
      <family val="2"/>
      <charset val="238"/>
    </font>
    <font>
      <b/>
      <sz val="10"/>
      <color rgb="FFB4560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9"/>
      <color theme="10"/>
      <name val="Arial CE"/>
      <charset val="238"/>
    </font>
    <font>
      <u/>
      <sz val="10"/>
      <color theme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C0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5D09"/>
        <bgColor indexed="64"/>
      </patternFill>
    </fill>
    <fill>
      <patternFill patternType="solid">
        <fgColor rgb="FFB456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3" fillId="4" borderId="7" xfId="0" applyFont="1" applyFill="1" applyBorder="1"/>
    <xf numFmtId="0" fontId="2" fillId="4" borderId="15" xfId="0" applyFont="1" applyFill="1" applyBorder="1"/>
    <xf numFmtId="0" fontId="3" fillId="4" borderId="16" xfId="0" applyFont="1" applyFill="1" applyBorder="1"/>
    <xf numFmtId="0" fontId="2" fillId="4" borderId="15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8" xfId="0" applyFont="1" applyFill="1" applyBorder="1"/>
    <xf numFmtId="0" fontId="3" fillId="4" borderId="1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4" borderId="4" xfId="0" applyFont="1" applyFill="1" applyBorder="1"/>
    <xf numFmtId="2" fontId="5" fillId="4" borderId="15" xfId="0" applyNumberFormat="1" applyFont="1" applyFill="1" applyBorder="1" applyAlignment="1">
      <alignment horizontal="left"/>
    </xf>
    <xf numFmtId="2" fontId="5" fillId="4" borderId="11" xfId="0" applyNumberFormat="1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left"/>
    </xf>
    <xf numFmtId="1" fontId="5" fillId="4" borderId="13" xfId="0" applyNumberFormat="1" applyFont="1" applyFill="1" applyBorder="1" applyAlignment="1">
      <alignment horizontal="left"/>
    </xf>
    <xf numFmtId="1" fontId="5" fillId="4" borderId="11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3" fillId="4" borderId="11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left"/>
    </xf>
    <xf numFmtId="2" fontId="8" fillId="4" borderId="11" xfId="0" applyNumberFormat="1" applyFont="1" applyFill="1" applyBorder="1" applyAlignment="1">
      <alignment horizontal="left"/>
    </xf>
    <xf numFmtId="2" fontId="8" fillId="4" borderId="13" xfId="0" applyNumberFormat="1" applyFont="1" applyFill="1" applyBorder="1" applyAlignment="1">
      <alignment horizontal="left"/>
    </xf>
    <xf numFmtId="1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7" borderId="19" xfId="0" applyNumberFormat="1" applyFont="1" applyFill="1" applyBorder="1" applyAlignment="1">
      <alignment horizontal="center"/>
    </xf>
    <xf numFmtId="1" fontId="2" fillId="7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2" fillId="9" borderId="0" xfId="0" applyFont="1" applyFill="1" applyBorder="1"/>
    <xf numFmtId="0" fontId="3" fillId="9" borderId="0" xfId="0" applyFont="1" applyFill="1" applyBorder="1"/>
    <xf numFmtId="0" fontId="8" fillId="9" borderId="0" xfId="0" applyFont="1" applyFill="1" applyBorder="1"/>
    <xf numFmtId="49" fontId="8" fillId="9" borderId="0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1" fontId="2" fillId="10" borderId="17" xfId="0" applyNumberFormat="1" applyFont="1" applyFill="1" applyBorder="1" applyAlignment="1">
      <alignment horizontal="center"/>
    </xf>
    <xf numFmtId="0" fontId="8" fillId="4" borderId="0" xfId="0" applyFont="1" applyFill="1" applyBorder="1"/>
    <xf numFmtId="0" fontId="3" fillId="3" borderId="0" xfId="0" applyFont="1" applyFill="1" applyBorder="1"/>
    <xf numFmtId="1" fontId="8" fillId="4" borderId="13" xfId="0" applyNumberFormat="1" applyFont="1" applyFill="1" applyBorder="1" applyAlignment="1">
      <alignment horizontal="left"/>
    </xf>
    <xf numFmtId="0" fontId="9" fillId="9" borderId="0" xfId="0" applyFont="1" applyFill="1" applyBorder="1"/>
    <xf numFmtId="0" fontId="10" fillId="4" borderId="0" xfId="0" applyFont="1" applyFill="1" applyBorder="1"/>
    <xf numFmtId="164" fontId="5" fillId="4" borderId="15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12" fillId="4" borderId="0" xfId="0" applyFont="1" applyFill="1" applyBorder="1"/>
    <xf numFmtId="0" fontId="8" fillId="4" borderId="0" xfId="0" applyFont="1" applyFill="1"/>
    <xf numFmtId="0" fontId="9" fillId="4" borderId="0" xfId="0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 applyBorder="1"/>
    <xf numFmtId="0" fontId="9" fillId="4" borderId="1" xfId="0" applyFont="1" applyFill="1" applyBorder="1"/>
    <xf numFmtId="0" fontId="15" fillId="4" borderId="0" xfId="0" applyFont="1" applyFill="1" applyAlignment="1">
      <alignment horizontal="left"/>
    </xf>
    <xf numFmtId="1" fontId="9" fillId="4" borderId="0" xfId="0" applyNumberFormat="1" applyFont="1" applyFill="1" applyAlignment="1">
      <alignment horizontal="left"/>
    </xf>
    <xf numFmtId="1" fontId="8" fillId="4" borderId="0" xfId="0" applyNumberFormat="1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9" fillId="4" borderId="7" xfId="0" applyFont="1" applyFill="1" applyBorder="1"/>
    <xf numFmtId="0" fontId="9" fillId="4" borderId="2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left"/>
    </xf>
    <xf numFmtId="2" fontId="8" fillId="4" borderId="4" xfId="0" applyNumberFormat="1" applyFont="1" applyFill="1" applyBorder="1" applyAlignment="1">
      <alignment horizontal="left"/>
    </xf>
    <xf numFmtId="2" fontId="8" fillId="4" borderId="8" xfId="0" applyNumberFormat="1" applyFont="1" applyFill="1" applyBorder="1" applyAlignment="1">
      <alignment horizontal="left"/>
    </xf>
    <xf numFmtId="2" fontId="8" fillId="4" borderId="6" xfId="0" applyNumberFormat="1" applyFont="1" applyFill="1" applyBorder="1" applyAlignment="1">
      <alignment horizontal="left"/>
    </xf>
    <xf numFmtId="0" fontId="9" fillId="4" borderId="9" xfId="0" applyFont="1" applyFill="1" applyBorder="1"/>
    <xf numFmtId="9" fontId="9" fillId="4" borderId="20" xfId="0" applyNumberFormat="1" applyFont="1" applyFill="1" applyBorder="1" applyAlignment="1">
      <alignment horizontal="center"/>
    </xf>
    <xf numFmtId="0" fontId="8" fillId="4" borderId="20" xfId="0" applyFont="1" applyFill="1" applyBorder="1"/>
    <xf numFmtId="1" fontId="9" fillId="4" borderId="20" xfId="0" applyNumberFormat="1" applyFont="1" applyFill="1" applyBorder="1" applyAlignment="1">
      <alignment horizontal="left"/>
    </xf>
    <xf numFmtId="0" fontId="9" fillId="4" borderId="21" xfId="0" applyFont="1" applyFill="1" applyBorder="1"/>
    <xf numFmtId="0" fontId="8" fillId="4" borderId="22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7" fillId="4" borderId="0" xfId="0" applyFont="1" applyFill="1"/>
    <xf numFmtId="2" fontId="9" fillId="4" borderId="0" xfId="0" applyNumberFormat="1" applyFont="1" applyFill="1" applyBorder="1"/>
    <xf numFmtId="0" fontId="14" fillId="4" borderId="0" xfId="0" applyFont="1" applyFill="1" applyBorder="1"/>
    <xf numFmtId="2" fontId="14" fillId="4" borderId="0" xfId="0" applyNumberFormat="1" applyFont="1" applyFill="1" applyBorder="1"/>
    <xf numFmtId="165" fontId="8" fillId="4" borderId="0" xfId="0" applyNumberFormat="1" applyFont="1" applyFill="1" applyBorder="1"/>
    <xf numFmtId="165" fontId="8" fillId="4" borderId="0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1" fontId="18" fillId="4" borderId="0" xfId="0" applyNumberFormat="1" applyFont="1" applyFill="1" applyBorder="1" applyAlignment="1">
      <alignment horizontal="left"/>
    </xf>
    <xf numFmtId="2" fontId="9" fillId="12" borderId="10" xfId="0" applyNumberFormat="1" applyFont="1" applyFill="1" applyBorder="1" applyAlignment="1">
      <alignment horizontal="left"/>
    </xf>
    <xf numFmtId="2" fontId="9" fillId="4" borderId="2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left"/>
    </xf>
    <xf numFmtId="2" fontId="9" fillId="4" borderId="6" xfId="0" applyNumberFormat="1" applyFont="1" applyFill="1" applyBorder="1" applyAlignment="1">
      <alignment horizontal="left"/>
    </xf>
    <xf numFmtId="2" fontId="9" fillId="11" borderId="10" xfId="0" applyNumberFormat="1" applyFont="1" applyFill="1" applyBorder="1" applyAlignment="1">
      <alignment horizontal="left"/>
    </xf>
    <xf numFmtId="0" fontId="8" fillId="9" borderId="0" xfId="0" applyFont="1" applyFill="1"/>
    <xf numFmtId="0" fontId="9" fillId="9" borderId="0" xfId="0" applyFont="1" applyFill="1"/>
    <xf numFmtId="0" fontId="8" fillId="12" borderId="0" xfId="0" applyFont="1" applyFill="1"/>
    <xf numFmtId="2" fontId="9" fillId="4" borderId="0" xfId="0" applyNumberFormat="1" applyFont="1" applyFill="1" applyBorder="1" applyAlignment="1">
      <alignment horizontal="left"/>
    </xf>
    <xf numFmtId="9" fontId="15" fillId="4" borderId="1" xfId="0" applyNumberFormat="1" applyFont="1" applyFill="1" applyBorder="1" applyAlignment="1">
      <alignment horizontal="center"/>
    </xf>
    <xf numFmtId="9" fontId="15" fillId="4" borderId="3" xfId="0" applyNumberFormat="1" applyFont="1" applyFill="1" applyBorder="1" applyAlignment="1">
      <alignment horizontal="center"/>
    </xf>
    <xf numFmtId="9" fontId="15" fillId="4" borderId="5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left"/>
    </xf>
    <xf numFmtId="1" fontId="9" fillId="4" borderId="4" xfId="0" applyNumberFormat="1" applyFont="1" applyFill="1" applyBorder="1" applyAlignment="1">
      <alignment horizontal="left"/>
    </xf>
    <xf numFmtId="1" fontId="9" fillId="4" borderId="6" xfId="0" applyNumberFormat="1" applyFont="1" applyFill="1" applyBorder="1" applyAlignment="1">
      <alignment horizontal="left"/>
    </xf>
    <xf numFmtId="0" fontId="3" fillId="10" borderId="0" xfId="0" applyFont="1" applyFill="1" applyBorder="1"/>
    <xf numFmtId="0" fontId="1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13" borderId="0" xfId="0" applyFont="1" applyFill="1" applyBorder="1"/>
    <xf numFmtId="0" fontId="3" fillId="13" borderId="0" xfId="0" applyFont="1" applyFill="1" applyBorder="1"/>
    <xf numFmtId="1" fontId="3" fillId="13" borderId="0" xfId="0" applyNumberFormat="1" applyFont="1" applyFill="1" applyBorder="1" applyAlignment="1">
      <alignment horizontal="center"/>
    </xf>
    <xf numFmtId="1" fontId="2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1" fontId="3" fillId="13" borderId="0" xfId="0" applyNumberFormat="1" applyFont="1" applyFill="1" applyBorder="1"/>
    <xf numFmtId="1" fontId="2" fillId="13" borderId="0" xfId="0" applyNumberFormat="1" applyFont="1" applyFill="1" applyBorder="1"/>
    <xf numFmtId="0" fontId="5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8" fillId="4" borderId="8" xfId="0" applyFont="1" applyFill="1" applyBorder="1"/>
    <xf numFmtId="2" fontId="15" fillId="4" borderId="0" xfId="0" applyNumberFormat="1" applyFont="1" applyFill="1" applyAlignment="1">
      <alignment horizontal="left"/>
    </xf>
    <xf numFmtId="166" fontId="9" fillId="4" borderId="0" xfId="0" applyNumberFormat="1" applyFont="1" applyFill="1" applyAlignment="1">
      <alignment horizontal="center"/>
    </xf>
    <xf numFmtId="0" fontId="3" fillId="4" borderId="11" xfId="0" applyFont="1" applyFill="1" applyBorder="1"/>
    <xf numFmtId="0" fontId="2" fillId="4" borderId="3" xfId="0" applyFont="1" applyFill="1" applyBorder="1"/>
    <xf numFmtId="0" fontId="2" fillId="10" borderId="1" xfId="0" applyFont="1" applyFill="1" applyBorder="1" applyAlignment="1">
      <alignment horizontal="left"/>
    </xf>
    <xf numFmtId="1" fontId="2" fillId="10" borderId="19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2" fontId="18" fillId="4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1" fontId="2" fillId="5" borderId="17" xfId="0" applyNumberFormat="1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2" fontId="18" fillId="4" borderId="1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" fontId="2" fillId="5" borderId="19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2" fillId="2" borderId="17" xfId="0" applyNumberFormat="1" applyFont="1" applyFill="1" applyBorder="1" applyAlignment="1">
      <alignment horizontal="center"/>
    </xf>
    <xf numFmtId="166" fontId="19" fillId="4" borderId="0" xfId="0" applyNumberFormat="1" applyFont="1" applyFill="1" applyAlignment="1">
      <alignment horizontal="left"/>
    </xf>
    <xf numFmtId="166" fontId="15" fillId="4" borderId="0" xfId="0" applyNumberFormat="1" applyFont="1" applyFill="1" applyAlignment="1">
      <alignment horizontal="left"/>
    </xf>
    <xf numFmtId="0" fontId="2" fillId="3" borderId="0" xfId="0" applyFont="1" applyFill="1" applyBorder="1"/>
    <xf numFmtId="0" fontId="1" fillId="3" borderId="0" xfId="0" applyFont="1" applyFill="1" applyBorder="1"/>
    <xf numFmtId="0" fontId="21" fillId="3" borderId="0" xfId="1" applyFont="1" applyFill="1" applyBorder="1" applyAlignment="1" applyProtection="1"/>
  </cellXfs>
  <cellStyles count="2">
    <cellStyle name="Hiperłącze" xfId="1" builtinId="8"/>
    <cellStyle name="Normalny" xfId="0" builtinId="0" customBuiltin="1"/>
  </cellStyles>
  <dxfs count="0"/>
  <tableStyles count="0" defaultTableStyle="TableStyleMedium9" defaultPivotStyle="PivotStyleLight16"/>
  <colors>
    <mruColors>
      <color rgb="FFFFCC66"/>
      <color rgb="FFFFFF99"/>
      <color rgb="FFC35D09"/>
      <color rgb="FFB45608"/>
      <color rgb="FF04BC30"/>
      <color rgb="FF00C05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 sz="1400"/>
              <a:t>Koszt</a:t>
            </a:r>
            <a:r>
              <a:rPr lang="pl-PL" sz="1400"/>
              <a:t>y </a:t>
            </a:r>
            <a:r>
              <a:rPr lang="en-US" sz="1400"/>
              <a:t>ogrzewania </a:t>
            </a:r>
            <a:endParaRPr lang="pl-PL" sz="1400"/>
          </a:p>
          <a:p>
            <a:pPr>
              <a:defRPr/>
            </a:pPr>
            <a:r>
              <a:rPr lang="en-US" sz="1400" b="0"/>
              <a:t>zł brutto/rok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</c:title>
    <c:plotArea>
      <c:layout>
        <c:manualLayout>
          <c:layoutTarget val="inner"/>
          <c:xMode val="edge"/>
          <c:yMode val="edge"/>
          <c:x val="0.26974717511494317"/>
          <c:y val="0.10311683367223839"/>
          <c:w val="0.70582951165276664"/>
          <c:h val="0.84073440035031655"/>
        </c:manualLayout>
      </c:layout>
      <c:barChart>
        <c:barDir val="bar"/>
        <c:grouping val="clustered"/>
        <c:ser>
          <c:idx val="1"/>
          <c:order val="0"/>
          <c:tx>
            <c:v>Koszt ogrzewania zł brutto/rok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chemeClr val="accent1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solidFill>
                <a:srgbClr val="FFCC6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numFmt formatCode="#,##0\ &quot;zł&quot;" sourceLinked="0"/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Val val="1"/>
          </c:dLbls>
          <c:cat>
            <c:multiLvlStrRef>
              <c:f>'Koszty ogrzewania'!$B$28:$C$43</c:f>
              <c:multiLvlStrCache>
                <c:ptCount val="16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kondensacyjny+solary</c:v>
                  </c:pt>
                  <c:pt idx="4">
                    <c:v>kocioł kondensacyjny</c:v>
                  </c:pt>
                  <c:pt idx="5">
                    <c:v>kocioł kondensacyjny+solary</c:v>
                  </c:pt>
                  <c:pt idx="6">
                    <c:v>kocioł tradycyjny</c:v>
                  </c:pt>
                  <c:pt idx="7">
                    <c:v>kocioł kondensacyjny</c:v>
                  </c:pt>
                  <c:pt idx="8">
                    <c:v>kocioł kondensacyjny+solary</c:v>
                  </c:pt>
                  <c:pt idx="9">
                    <c:v>kocioł miałowy+grzałka elektryczna</c:v>
                  </c:pt>
                  <c:pt idx="10">
                    <c:v>z podajnikiem, "ekogroszek"</c:v>
                  </c:pt>
                  <c:pt idx="11">
                    <c:v>kocioł na drewno - buk</c:v>
                  </c:pt>
                  <c:pt idx="12">
                    <c:v>kocioł na pelet</c:v>
                  </c:pt>
                  <c:pt idx="13">
                    <c:v>pompa ciepła - gruntowa</c:v>
                  </c:pt>
                  <c:pt idx="14">
                    <c:v>pompa ciepła - powietrzna</c:v>
                  </c:pt>
                  <c:pt idx="15">
                    <c:v>grzejniki akumulacyjne</c:v>
                  </c:pt>
                </c:lvl>
                <c:lvl>
                  <c:pt idx="0">
                    <c:v>Gaz ziemny</c:v>
                  </c:pt>
                  <c:pt idx="4">
                    <c:v>LPG</c:v>
                  </c:pt>
                  <c:pt idx="6">
                    <c:v>Olej opałowy</c:v>
                  </c:pt>
                  <c:pt idx="9">
                    <c:v>Węgiel </c:v>
                  </c:pt>
                  <c:pt idx="11">
                    <c:v>Drewno</c:v>
                  </c:pt>
                  <c:pt idx="13">
                    <c:v>Energia elektr.</c:v>
                  </c:pt>
                </c:lvl>
              </c:multiLvlStrCache>
            </c:multiLvlStrRef>
          </c:cat>
          <c:val>
            <c:numRef>
              <c:f>'Koszty ogrzewania'!$J$28:$J$43</c:f>
              <c:numCache>
                <c:formatCode>0</c:formatCode>
                <c:ptCount val="16"/>
                <c:pt idx="0">
                  <c:v>8433.5562138542482</c:v>
                </c:pt>
                <c:pt idx="1">
                  <c:v>6999.7199408211463</c:v>
                </c:pt>
                <c:pt idx="2">
                  <c:v>5777.2826054788202</c:v>
                </c:pt>
                <c:pt idx="3">
                  <c:v>5200.5512232041856</c:v>
                </c:pt>
                <c:pt idx="4">
                  <c:v>9902.6562867722096</c:v>
                </c:pt>
                <c:pt idx="5">
                  <c:v>8940.2683595595572</c:v>
                </c:pt>
                <c:pt idx="6">
                  <c:v>7869.088063511831</c:v>
                </c:pt>
                <c:pt idx="7">
                  <c:v>6924.7974958904106</c:v>
                </c:pt>
                <c:pt idx="8">
                  <c:v>6248.2418329304328</c:v>
                </c:pt>
                <c:pt idx="9">
                  <c:v>4030.034518458725</c:v>
                </c:pt>
                <c:pt idx="10">
                  <c:v>4599.5429916897519</c:v>
                </c:pt>
                <c:pt idx="11">
                  <c:v>3581.1920026620824</c:v>
                </c:pt>
                <c:pt idx="12">
                  <c:v>5179.6101336898391</c:v>
                </c:pt>
                <c:pt idx="13">
                  <c:v>2647.4713929999998</c:v>
                </c:pt>
                <c:pt idx="14">
                  <c:v>4520.0731100000003</c:v>
                </c:pt>
                <c:pt idx="15">
                  <c:v>9040.1462199999987</c:v>
                </c:pt>
              </c:numCache>
            </c:numRef>
          </c:val>
        </c:ser>
        <c:gapWidth val="166"/>
        <c:axId val="230548224"/>
        <c:axId val="230549760"/>
      </c:barChart>
      <c:catAx>
        <c:axId val="230548224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230549760"/>
        <c:crosses val="autoZero"/>
        <c:lblAlgn val="ctr"/>
        <c:lblOffset val="100"/>
      </c:catAx>
      <c:valAx>
        <c:axId val="23054976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230548224"/>
        <c:crosses val="autoZero"/>
        <c:crossBetween val="between"/>
      </c:valAx>
      <c:spPr>
        <a:noFill/>
      </c:spPr>
    </c:plotArea>
    <c:plotVisOnly val="1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400"/>
              <a:t>Cena 1 kWh ciepła</a:t>
            </a:r>
          </a:p>
          <a:p>
            <a:pPr>
              <a:defRPr/>
            </a:pPr>
            <a:r>
              <a:rPr lang="en-US" sz="1400" b="0"/>
              <a:t>zł brutto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</c:title>
    <c:plotArea>
      <c:layout>
        <c:manualLayout>
          <c:layoutTarget val="inner"/>
          <c:xMode val="edge"/>
          <c:yMode val="edge"/>
          <c:x val="0.26974717511494312"/>
          <c:y val="9.7849740191282786E-2"/>
          <c:w val="0.70582951165276664"/>
          <c:h val="0.84073440035031666"/>
        </c:manualLayout>
      </c:layout>
      <c:barChart>
        <c:barDir val="bar"/>
        <c:grouping val="clustered"/>
        <c:ser>
          <c:idx val="1"/>
          <c:order val="0"/>
          <c:tx>
            <c:v>Cena 1 kWg ciepła zł brutto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solidFill>
                <a:srgbClr val="FFCC6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solidFill>
                <a:srgbClr val="B4560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numFmt formatCode="#,##0.00\ &quot;zł&quot;" sourceLinked="0"/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Val val="1"/>
          </c:dLbls>
          <c:cat>
            <c:multiLvlStrRef>
              <c:f>'Koszty ogrzewania'!$B$28:$C$43</c:f>
              <c:multiLvlStrCache>
                <c:ptCount val="16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kondensacyjny+solary</c:v>
                  </c:pt>
                  <c:pt idx="4">
                    <c:v>kocioł kondensacyjny</c:v>
                  </c:pt>
                  <c:pt idx="5">
                    <c:v>kocioł kondensacyjny+solary</c:v>
                  </c:pt>
                  <c:pt idx="6">
                    <c:v>kocioł tradycyjny</c:v>
                  </c:pt>
                  <c:pt idx="7">
                    <c:v>kocioł kondensacyjny</c:v>
                  </c:pt>
                  <c:pt idx="8">
                    <c:v>kocioł kondensacyjny+solary</c:v>
                  </c:pt>
                  <c:pt idx="9">
                    <c:v>kocioł miałowy+grzałka elektryczna</c:v>
                  </c:pt>
                  <c:pt idx="10">
                    <c:v>z podajnikiem, "ekogroszek"</c:v>
                  </c:pt>
                  <c:pt idx="11">
                    <c:v>kocioł na drewno - buk</c:v>
                  </c:pt>
                  <c:pt idx="12">
                    <c:v>kocioł na pelet</c:v>
                  </c:pt>
                  <c:pt idx="13">
                    <c:v>pompa ciepła - gruntowa</c:v>
                  </c:pt>
                  <c:pt idx="14">
                    <c:v>pompa ciepła - powietrzna</c:v>
                  </c:pt>
                  <c:pt idx="15">
                    <c:v>grzejniki akumulacyjne</c:v>
                  </c:pt>
                </c:lvl>
                <c:lvl>
                  <c:pt idx="0">
                    <c:v>Gaz ziemny</c:v>
                  </c:pt>
                  <c:pt idx="4">
                    <c:v>LPG</c:v>
                  </c:pt>
                  <c:pt idx="6">
                    <c:v>Olej opałowy</c:v>
                  </c:pt>
                  <c:pt idx="9">
                    <c:v>Węgiel </c:v>
                  </c:pt>
                  <c:pt idx="11">
                    <c:v>Drewno</c:v>
                  </c:pt>
                  <c:pt idx="13">
                    <c:v>Energia elektr.</c:v>
                  </c:pt>
                </c:lvl>
              </c:multiLvlStrCache>
            </c:multiLvlStrRef>
          </c:cat>
          <c:val>
            <c:numRef>
              <c:f>'Koszty ogrzewania'!$K$28:$K$43</c:f>
              <c:numCache>
                <c:formatCode>0.00</c:formatCode>
                <c:ptCount val="16"/>
                <c:pt idx="0">
                  <c:v>0.32651514732346737</c:v>
                </c:pt>
                <c:pt idx="1">
                  <c:v>0.27100247271082312</c:v>
                </c:pt>
                <c:pt idx="2">
                  <c:v>0.22367435909876099</c:v>
                </c:pt>
                <c:pt idx="3">
                  <c:v>0.21877165055350567</c:v>
                </c:pt>
                <c:pt idx="4">
                  <c:v>0.38339310183970376</c:v>
                </c:pt>
                <c:pt idx="5">
                  <c:v>0.37609037609037604</c:v>
                </c:pt>
                <c:pt idx="6">
                  <c:v>0.30466109233232525</c:v>
                </c:pt>
                <c:pt idx="7">
                  <c:v>0.26810176125244617</c:v>
                </c:pt>
                <c:pt idx="8">
                  <c:v>0.26284486397298645</c:v>
                </c:pt>
                <c:pt idx="9">
                  <c:v>0.13061650992685475</c:v>
                </c:pt>
                <c:pt idx="10">
                  <c:v>0.17807677087455484</c:v>
                </c:pt>
                <c:pt idx="11">
                  <c:v>0.13865010260107594</c:v>
                </c:pt>
                <c:pt idx="12">
                  <c:v>0.20053475935828874</c:v>
                </c:pt>
                <c:pt idx="13">
                  <c:v>0.10249999999999999</c:v>
                </c:pt>
                <c:pt idx="14">
                  <c:v>0.17500000000000002</c:v>
                </c:pt>
                <c:pt idx="15">
                  <c:v>0.35</c:v>
                </c:pt>
              </c:numCache>
            </c:numRef>
          </c:val>
        </c:ser>
        <c:gapWidth val="166"/>
        <c:axId val="230827904"/>
        <c:axId val="230829440"/>
      </c:barChart>
      <c:catAx>
        <c:axId val="230827904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230829440"/>
        <c:crosses val="autoZero"/>
        <c:lblAlgn val="ctr"/>
        <c:lblOffset val="100"/>
      </c:catAx>
      <c:valAx>
        <c:axId val="23082944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230827904"/>
        <c:crosses val="autoZero"/>
        <c:crossBetween val="between"/>
      </c:valAx>
      <c:spPr>
        <a:noFill/>
      </c:spPr>
    </c:plotArea>
    <c:plotVisOnly val="1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5875">
              <a:solidFill>
                <a:srgbClr val="1F497D">
                  <a:lumMod val="60000"/>
                  <a:lumOff val="40000"/>
                  <a:alpha val="90000"/>
                </a:srgbClr>
              </a:solidFill>
            </a:ln>
            <a:effectLst>
              <a:outerShdw blurRad="63500" dist="38100" algn="l" rotWithShape="0">
                <a:prstClr val="black">
                  <a:alpha val="37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dLbls>
            <c:numFmt formatCode="#,##0.00\ &quot;zł&quot;" sourceLinked="0"/>
            <c:txPr>
              <a:bodyPr/>
              <a:lstStyle/>
              <a:p>
                <a:pPr>
                  <a:defRPr sz="1100" b="1" baseline="0"/>
                </a:pPr>
                <a:endParaRPr lang="pl-PL"/>
              </a:p>
            </c:txPr>
            <c:showVal val="1"/>
          </c:dLbls>
          <c:cat>
            <c:strRef>
              <c:f>'Symulator - gaz ziemny'!$B$22:$B$33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'Symulator - gaz ziemny'!$J$22:$J$33</c:f>
              <c:numCache>
                <c:formatCode>0.00</c:formatCode>
                <c:ptCount val="12"/>
                <c:pt idx="0">
                  <c:v>1064.7787350409758</c:v>
                </c:pt>
                <c:pt idx="1">
                  <c:v>900.71477687661115</c:v>
                </c:pt>
                <c:pt idx="2">
                  <c:v>736.65081871224663</c:v>
                </c:pt>
                <c:pt idx="3">
                  <c:v>353.83491632872915</c:v>
                </c:pt>
                <c:pt idx="4">
                  <c:v>189.77095816436457</c:v>
                </c:pt>
                <c:pt idx="5">
                  <c:v>80.394986054788191</c:v>
                </c:pt>
                <c:pt idx="6">
                  <c:v>80.394986054788191</c:v>
                </c:pt>
                <c:pt idx="7">
                  <c:v>80.394986054788191</c:v>
                </c:pt>
                <c:pt idx="8">
                  <c:v>135.08297210957639</c:v>
                </c:pt>
                <c:pt idx="9">
                  <c:v>463.21088843830563</c:v>
                </c:pt>
                <c:pt idx="10">
                  <c:v>681.96283265745819</c:v>
                </c:pt>
                <c:pt idx="11">
                  <c:v>1010.0907489861875</c:v>
                </c:pt>
              </c:numCache>
            </c:numRef>
          </c:val>
        </c:ser>
        <c:axId val="230944768"/>
        <c:axId val="230946304"/>
      </c:barChart>
      <c:catAx>
        <c:axId val="230944768"/>
        <c:scaling>
          <c:orientation val="minMax"/>
        </c:scaling>
        <c:axPos val="b"/>
        <c:numFmt formatCode="0.00" sourceLinked="1"/>
        <c:tickLblPos val="nextTo"/>
        <c:spPr>
          <a:ln w="25400" cmpd="sng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230946304"/>
        <c:crosses val="autoZero"/>
        <c:auto val="1"/>
        <c:lblAlgn val="ctr"/>
        <c:lblOffset val="80"/>
      </c:catAx>
      <c:valAx>
        <c:axId val="230946304"/>
        <c:scaling>
          <c:orientation val="minMax"/>
        </c:scaling>
        <c:axPos val="l"/>
        <c:majorGridlines>
          <c:spPr>
            <a:ln w="15875"/>
          </c:spPr>
        </c:majorGridlines>
        <c:numFmt formatCode="0" sourceLinked="0"/>
        <c:tickLblPos val="nextTo"/>
        <c:spPr>
          <a:ln w="25400"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230944768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893133</xdr:colOff>
      <xdr:row>31</xdr:row>
      <xdr:rowOff>122116</xdr:rowOff>
    </xdr:from>
    <xdr:to>
      <xdr:col>1</xdr:col>
      <xdr:colOff>1083646</xdr:colOff>
      <xdr:row>32</xdr:row>
      <xdr:rowOff>153303</xdr:rowOff>
    </xdr:to>
    <xdr:pic>
      <xdr:nvPicPr>
        <xdr:cNvPr id="9" name="Obraz 8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5383" y="5244449"/>
          <a:ext cx="190513" cy="189937"/>
        </a:xfrm>
        <a:prstGeom prst="rect">
          <a:avLst/>
        </a:prstGeom>
      </xdr:spPr>
    </xdr:pic>
    <xdr:clientData/>
  </xdr:twoCellAnchor>
  <xdr:twoCellAnchor>
    <xdr:from>
      <xdr:col>13</xdr:col>
      <xdr:colOff>238125</xdr:colOff>
      <xdr:row>10</xdr:row>
      <xdr:rowOff>9526</xdr:rowOff>
    </xdr:from>
    <xdr:to>
      <xdr:col>13</xdr:col>
      <xdr:colOff>704850</xdr:colOff>
      <xdr:row>10</xdr:row>
      <xdr:rowOff>123826</xdr:rowOff>
    </xdr:to>
    <xdr:sp macro="" textlink="">
      <xdr:nvSpPr>
        <xdr:cNvPr id="2" name="Strzałka w prawo 1"/>
        <xdr:cNvSpPr/>
      </xdr:nvSpPr>
      <xdr:spPr>
        <a:xfrm>
          <a:off x="9715500" y="1685926"/>
          <a:ext cx="46672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228600</xdr:colOff>
      <xdr:row>40</xdr:row>
      <xdr:rowOff>19050</xdr:rowOff>
    </xdr:from>
    <xdr:to>
      <xdr:col>13</xdr:col>
      <xdr:colOff>695325</xdr:colOff>
      <xdr:row>40</xdr:row>
      <xdr:rowOff>133350</xdr:rowOff>
    </xdr:to>
    <xdr:sp macro="" textlink="">
      <xdr:nvSpPr>
        <xdr:cNvPr id="3" name="Strzałka w prawo 2"/>
        <xdr:cNvSpPr/>
      </xdr:nvSpPr>
      <xdr:spPr>
        <a:xfrm>
          <a:off x="9505950" y="6467475"/>
          <a:ext cx="46672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238125</xdr:colOff>
      <xdr:row>15</xdr:row>
      <xdr:rowOff>38101</xdr:rowOff>
    </xdr:from>
    <xdr:to>
      <xdr:col>13</xdr:col>
      <xdr:colOff>685800</xdr:colOff>
      <xdr:row>15</xdr:row>
      <xdr:rowOff>152401</xdr:rowOff>
    </xdr:to>
    <xdr:sp macro="" textlink="">
      <xdr:nvSpPr>
        <xdr:cNvPr id="4" name="Strzałka w prawo 3"/>
        <xdr:cNvSpPr/>
      </xdr:nvSpPr>
      <xdr:spPr>
        <a:xfrm>
          <a:off x="9858375" y="2621757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232840</xdr:colOff>
      <xdr:row>12</xdr:row>
      <xdr:rowOff>13749</xdr:rowOff>
    </xdr:from>
    <xdr:to>
      <xdr:col>13</xdr:col>
      <xdr:colOff>680515</xdr:colOff>
      <xdr:row>12</xdr:row>
      <xdr:rowOff>128049</xdr:rowOff>
    </xdr:to>
    <xdr:sp macro="" textlink="">
      <xdr:nvSpPr>
        <xdr:cNvPr id="5" name="Strzałka w prawo 4"/>
        <xdr:cNvSpPr/>
      </xdr:nvSpPr>
      <xdr:spPr>
        <a:xfrm>
          <a:off x="9514423" y="2024582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238120</xdr:colOff>
      <xdr:row>27</xdr:row>
      <xdr:rowOff>0</xdr:rowOff>
    </xdr:from>
    <xdr:to>
      <xdr:col>13</xdr:col>
      <xdr:colOff>685795</xdr:colOff>
      <xdr:row>27</xdr:row>
      <xdr:rowOff>114300</xdr:rowOff>
    </xdr:to>
    <xdr:sp macro="" textlink="">
      <xdr:nvSpPr>
        <xdr:cNvPr id="6" name="Strzałka w prawo 5"/>
        <xdr:cNvSpPr/>
      </xdr:nvSpPr>
      <xdr:spPr>
        <a:xfrm>
          <a:off x="10334620" y="4964906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17</xdr:col>
      <xdr:colOff>23810</xdr:colOff>
      <xdr:row>36</xdr:row>
      <xdr:rowOff>33318</xdr:rowOff>
    </xdr:from>
    <xdr:to>
      <xdr:col>17</xdr:col>
      <xdr:colOff>583403</xdr:colOff>
      <xdr:row>36</xdr:row>
      <xdr:rowOff>154782</xdr:rowOff>
    </xdr:to>
    <xdr:sp macro="" textlink="">
      <xdr:nvSpPr>
        <xdr:cNvPr id="7" name="Strzałka w prawo 6"/>
        <xdr:cNvSpPr/>
      </xdr:nvSpPr>
      <xdr:spPr>
        <a:xfrm>
          <a:off x="15251904" y="5998349"/>
          <a:ext cx="559593" cy="121464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1</xdr:col>
      <xdr:colOff>890995</xdr:colOff>
      <xdr:row>34</xdr:row>
      <xdr:rowOff>114557</xdr:rowOff>
    </xdr:from>
    <xdr:to>
      <xdr:col>1</xdr:col>
      <xdr:colOff>1081508</xdr:colOff>
      <xdr:row>35</xdr:row>
      <xdr:rowOff>145743</xdr:rowOff>
    </xdr:to>
    <xdr:pic>
      <xdr:nvPicPr>
        <xdr:cNvPr id="10" name="Obraz 9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245" y="5723724"/>
          <a:ext cx="190513" cy="189936"/>
        </a:xfrm>
        <a:prstGeom prst="rect">
          <a:avLst/>
        </a:prstGeom>
      </xdr:spPr>
    </xdr:pic>
    <xdr:clientData/>
  </xdr:twoCellAnchor>
  <xdr:twoCellAnchor editAs="oneCell">
    <xdr:from>
      <xdr:col>1</xdr:col>
      <xdr:colOff>887747</xdr:colOff>
      <xdr:row>29</xdr:row>
      <xdr:rowOff>116733</xdr:rowOff>
    </xdr:from>
    <xdr:to>
      <xdr:col>1</xdr:col>
      <xdr:colOff>1078260</xdr:colOff>
      <xdr:row>30</xdr:row>
      <xdr:rowOff>147921</xdr:rowOff>
    </xdr:to>
    <xdr:pic>
      <xdr:nvPicPr>
        <xdr:cNvPr id="11" name="Obraz 10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9997" y="4910983"/>
          <a:ext cx="190513" cy="189938"/>
        </a:xfrm>
        <a:prstGeom prst="rect">
          <a:avLst/>
        </a:prstGeom>
      </xdr:spPr>
    </xdr:pic>
    <xdr:clientData/>
  </xdr:twoCellAnchor>
  <xdr:twoCellAnchor editAs="oneCell">
    <xdr:from>
      <xdr:col>9</xdr:col>
      <xdr:colOff>16954</xdr:colOff>
      <xdr:row>31</xdr:row>
      <xdr:rowOff>156387</xdr:rowOff>
    </xdr:from>
    <xdr:to>
      <xdr:col>9</xdr:col>
      <xdr:colOff>169334</xdr:colOff>
      <xdr:row>32</xdr:row>
      <xdr:rowOff>148497</xdr:rowOff>
    </xdr:to>
    <xdr:pic>
      <xdr:nvPicPr>
        <xdr:cNvPr id="12" name="Obraz 11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E7D1"/>
            </a:clrFrom>
            <a:clrTo>
              <a:srgbClr val="FFE7D1">
                <a:alpha val="0"/>
              </a:srgbClr>
            </a:clrTo>
          </a:clrChange>
        </a:blip>
        <a:stretch>
          <a:fillRect/>
        </a:stretch>
      </xdr:blipFill>
      <xdr:spPr>
        <a:xfrm>
          <a:off x="6462204" y="5405720"/>
          <a:ext cx="152380" cy="156152"/>
        </a:xfrm>
        <a:prstGeom prst="rect">
          <a:avLst/>
        </a:prstGeom>
      </xdr:spPr>
    </xdr:pic>
    <xdr:clientData/>
  </xdr:twoCellAnchor>
  <xdr:twoCellAnchor editAs="oneCell">
    <xdr:from>
      <xdr:col>9</xdr:col>
      <xdr:colOff>20106</xdr:colOff>
      <xdr:row>34</xdr:row>
      <xdr:rowOff>157218</xdr:rowOff>
    </xdr:from>
    <xdr:to>
      <xdr:col>9</xdr:col>
      <xdr:colOff>174625</xdr:colOff>
      <xdr:row>35</xdr:row>
      <xdr:rowOff>151519</xdr:rowOff>
    </xdr:to>
    <xdr:pic>
      <xdr:nvPicPr>
        <xdr:cNvPr id="13" name="Obraz 12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5356" y="5903968"/>
          <a:ext cx="154519" cy="158343"/>
        </a:xfrm>
        <a:prstGeom prst="rect">
          <a:avLst/>
        </a:prstGeom>
      </xdr:spPr>
    </xdr:pic>
    <xdr:clientData/>
  </xdr:twoCellAnchor>
  <xdr:twoCellAnchor editAs="oneCell">
    <xdr:from>
      <xdr:col>9</xdr:col>
      <xdr:colOff>16859</xdr:colOff>
      <xdr:row>29</xdr:row>
      <xdr:rowOff>153458</xdr:rowOff>
    </xdr:from>
    <xdr:to>
      <xdr:col>9</xdr:col>
      <xdr:colOff>177171</xdr:colOff>
      <xdr:row>30</xdr:row>
      <xdr:rowOff>153697</xdr:rowOff>
    </xdr:to>
    <xdr:pic>
      <xdr:nvPicPr>
        <xdr:cNvPr id="14" name="Obraz 13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2109" y="5069416"/>
          <a:ext cx="160312" cy="164281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1047749</xdr:colOff>
      <xdr:row>11</xdr:row>
      <xdr:rowOff>116417</xdr:rowOff>
    </xdr:from>
    <xdr:to>
      <xdr:col>10</xdr:col>
      <xdr:colOff>21179</xdr:colOff>
      <xdr:row>12</xdr:row>
      <xdr:rowOff>147605</xdr:rowOff>
    </xdr:to>
    <xdr:pic>
      <xdr:nvPicPr>
        <xdr:cNvPr id="15" name="Obraz 14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4166" y="1968500"/>
          <a:ext cx="190513" cy="189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3813" y="-23813"/>
    <xdr:ext cx="9881464" cy="72335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0.98923</cdr:x>
      <cdr:y>0.02634</cdr:y>
    </cdr:from>
    <cdr:to>
      <cdr:x>1</cdr:x>
      <cdr:y>0.96947</cdr:y>
    </cdr:to>
    <cdr:grpSp>
      <cdr:nvGrpSpPr>
        <cdr:cNvPr id="8" name="Grupa 7"/>
        <cdr:cNvGrpSpPr/>
      </cdr:nvGrpSpPr>
      <cdr:grpSpPr>
        <a:xfrm xmlns:a="http://schemas.openxmlformats.org/drawingml/2006/main" flipH="1">
          <a:off x="9775041" y="190533"/>
          <a:ext cx="106423" cy="6822216"/>
          <a:chOff x="271464" y="55373"/>
          <a:chExt cx="1323966" cy="6754996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1266258" y="55373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56061"/>
            <a:ext cx="257735" cy="900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2"/>
            <a:ext cx="329172" cy="135730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0.82536</cdr:x>
      <cdr:y>0.00988</cdr:y>
    </cdr:from>
    <cdr:to>
      <cdr:x>0.98682</cdr:x>
      <cdr:y>0.09876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155783" y="71468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08.2016r.</a:t>
          </a:r>
        </a:p>
      </cdr:txBody>
    </cdr:sp>
  </cdr:relSizeAnchor>
  <cdr:relSizeAnchor xmlns:cdr="http://schemas.openxmlformats.org/drawingml/2006/chartDrawing">
    <cdr:from>
      <cdr:x>0.03293</cdr:x>
      <cdr:y>0.47736</cdr:y>
    </cdr:from>
    <cdr:to>
      <cdr:x>0.05944</cdr:x>
      <cdr:y>0.51346</cdr:y>
    </cdr:to>
    <cdr:pic>
      <cdr:nvPicPr>
        <cdr:cNvPr id="10" name="Obraz 9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25438" y="3453029"/>
          <a:ext cx="261951" cy="26116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0.03052</cdr:x>
      <cdr:y>0.63785</cdr:y>
    </cdr:from>
    <cdr:to>
      <cdr:x>0.05928</cdr:x>
      <cdr:y>0.67155</cdr:y>
    </cdr:to>
    <cdr:pic>
      <cdr:nvPicPr>
        <cdr:cNvPr id="11" name="Obraz 10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01627" y="4613944"/>
          <a:ext cx="284164" cy="2438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0.0308</cdr:x>
      <cdr:y>0.74293</cdr:y>
    </cdr:from>
    <cdr:to>
      <cdr:x>0.06025</cdr:x>
      <cdr:y>0.7758</cdr:y>
    </cdr:to>
    <cdr:pic>
      <cdr:nvPicPr>
        <cdr:cNvPr id="12" name="Obraz 11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04376" y="5374072"/>
          <a:ext cx="290937" cy="23774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-23813" y="-35719"/>
    <xdr:ext cx="9881464" cy="72335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0.99525</cdr:x>
      <cdr:y>0.11522</cdr:y>
    </cdr:from>
    <cdr:to>
      <cdr:x>1</cdr:x>
      <cdr:y>0.94149</cdr:y>
    </cdr:to>
    <cdr:grpSp>
      <cdr:nvGrpSpPr>
        <cdr:cNvPr id="8" name="Grupa 7"/>
        <cdr:cNvGrpSpPr/>
      </cdr:nvGrpSpPr>
      <cdr:grpSpPr>
        <a:xfrm xmlns:a="http://schemas.openxmlformats.org/drawingml/2006/main">
          <a:off x="9834527" y="833454"/>
          <a:ext cx="46937" cy="5976900"/>
          <a:chOff x="271464" y="833438"/>
          <a:chExt cx="348220" cy="5976931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278048" y="833438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48115"/>
            <a:ext cx="277830" cy="90000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3"/>
            <a:ext cx="329172" cy="13573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0.85548</cdr:x>
      <cdr:y>0.00988</cdr:y>
    </cdr:from>
    <cdr:to>
      <cdr:x>0.99887</cdr:x>
      <cdr:y>0.08724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453439" y="71439"/>
          <a:ext cx="1416844" cy="559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0.83018</cdr:x>
      <cdr:y>0.01317</cdr:y>
    </cdr:from>
    <cdr:to>
      <cdr:x>0.99164</cdr:x>
      <cdr:y>0.10205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8203407" y="95250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08.2016.</a:t>
          </a:r>
        </a:p>
      </cdr:txBody>
    </cdr:sp>
  </cdr:relSizeAnchor>
  <cdr:relSizeAnchor xmlns:cdr="http://schemas.openxmlformats.org/drawingml/2006/chartDrawing">
    <cdr:from>
      <cdr:x>0.03504</cdr:x>
      <cdr:y>0.4771</cdr:y>
    </cdr:from>
    <cdr:to>
      <cdr:x>0.06421</cdr:x>
      <cdr:y>0.51033</cdr:y>
    </cdr:to>
    <cdr:pic>
      <cdr:nvPicPr>
        <cdr:cNvPr id="20" name="Obraz 19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46198" y="3451112"/>
          <a:ext cx="288324" cy="2404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0.03652</cdr:x>
      <cdr:y>0.6326</cdr:y>
    </cdr:from>
    <cdr:to>
      <cdr:x>0.06507</cdr:x>
      <cdr:y>0.66715</cdr:y>
    </cdr:to>
    <cdr:pic>
      <cdr:nvPicPr>
        <cdr:cNvPr id="21" name="Obraz 20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60851" y="4575970"/>
          <a:ext cx="282087" cy="2499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0.03503</cdr:x>
      <cdr:y>0.73575</cdr:y>
    </cdr:from>
    <cdr:to>
      <cdr:x>0.06346</cdr:x>
      <cdr:y>0.77025</cdr:y>
    </cdr:to>
    <cdr:pic>
      <cdr:nvPicPr>
        <cdr:cNvPr id="22" name="Obraz 21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46197" y="5322095"/>
          <a:ext cx="280866" cy="24956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201084</xdr:colOff>
      <xdr:row>39</xdr:row>
      <xdr:rowOff>161395</xdr:rowOff>
    </xdr:from>
    <xdr:to>
      <xdr:col>9</xdr:col>
      <xdr:colOff>951178</xdr:colOff>
      <xdr:row>67</xdr:row>
      <xdr:rowOff>129646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130966</xdr:colOff>
      <xdr:row>7</xdr:row>
      <xdr:rowOff>11895</xdr:rowOff>
    </xdr:from>
    <xdr:to>
      <xdr:col>11</xdr:col>
      <xdr:colOff>578641</xdr:colOff>
      <xdr:row>7</xdr:row>
      <xdr:rowOff>126195</xdr:rowOff>
    </xdr:to>
    <xdr:sp macro="" textlink="">
      <xdr:nvSpPr>
        <xdr:cNvPr id="3" name="Strzałka w prawo 2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130966</xdr:colOff>
      <xdr:row>4</xdr:row>
      <xdr:rowOff>11895</xdr:rowOff>
    </xdr:from>
    <xdr:to>
      <xdr:col>11</xdr:col>
      <xdr:colOff>578641</xdr:colOff>
      <xdr:row>4</xdr:row>
      <xdr:rowOff>126195</xdr:rowOff>
    </xdr:to>
    <xdr:sp macro="" textlink="">
      <xdr:nvSpPr>
        <xdr:cNvPr id="5" name="Strzałka w prawo 4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pc.pl/kalkulator-scop/" TargetMode="External"/><Relationship Id="rId2" Type="http://schemas.openxmlformats.org/officeDocument/2006/relationships/hyperlink" Target="http://portpc.pl/?page_id=344" TargetMode="External"/><Relationship Id="rId1" Type="http://schemas.openxmlformats.org/officeDocument/2006/relationships/hyperlink" Target="http://ure.gov.pl/ftp/ure-kalkulator/ure/formularz_kalkulator_html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theme="9" tint="-0.499984740745262"/>
  </sheetPr>
  <dimension ref="B2:AA62"/>
  <sheetViews>
    <sheetView tabSelected="1" topLeftCell="A7" zoomScaleNormal="100" workbookViewId="0">
      <selection activeCell="H42" sqref="H42"/>
    </sheetView>
  </sheetViews>
  <sheetFormatPr defaultRowHeight="12.75"/>
  <cols>
    <col min="1" max="1" width="3.28515625" style="3" customWidth="1"/>
    <col min="2" max="2" width="16.28515625" style="3" customWidth="1"/>
    <col min="3" max="3" width="30.5703125" style="3" customWidth="1"/>
    <col min="4" max="4" width="8.42578125" style="3" customWidth="1"/>
    <col min="5" max="5" width="8.28515625" style="3" customWidth="1"/>
    <col min="6" max="6" width="6.28515625" style="3" customWidth="1"/>
    <col min="7" max="7" width="10.5703125" style="3" customWidth="1"/>
    <col min="8" max="9" width="6" style="3" customWidth="1"/>
    <col min="10" max="10" width="18.28515625" style="3" customWidth="1"/>
    <col min="11" max="11" width="13" style="3" customWidth="1"/>
    <col min="12" max="12" width="6.7109375" style="3" customWidth="1"/>
    <col min="13" max="13" width="10.140625" style="3" customWidth="1"/>
    <col min="14" max="14" width="10.28515625" style="3" customWidth="1"/>
    <col min="15" max="15" width="33.42578125" style="3" customWidth="1"/>
    <col min="16" max="16" width="15.42578125" style="3" customWidth="1"/>
    <col min="17" max="17" width="17.85546875" style="3" customWidth="1"/>
    <col min="18" max="18" width="9.140625" style="3"/>
    <col min="19" max="19" width="14.5703125" style="3" customWidth="1"/>
    <col min="20" max="20" width="10.7109375" style="3" customWidth="1"/>
    <col min="21" max="21" width="9.140625" style="3"/>
    <col min="22" max="22" width="4.42578125" style="3" customWidth="1"/>
    <col min="23" max="23" width="6.42578125" style="3" customWidth="1"/>
    <col min="24" max="24" width="14.42578125" style="3" customWidth="1"/>
    <col min="25" max="25" width="2.7109375" style="3" customWidth="1"/>
    <col min="26" max="26" width="6.5703125" style="3" customWidth="1"/>
    <col min="27" max="16384" width="9.140625" style="3"/>
  </cols>
  <sheetData>
    <row r="2" spans="2:24" ht="18">
      <c r="B2" s="25" t="s">
        <v>0</v>
      </c>
      <c r="C2" s="2"/>
      <c r="O2" s="130" t="s">
        <v>114</v>
      </c>
    </row>
    <row r="3" spans="2:24">
      <c r="B3" s="72" t="s">
        <v>175</v>
      </c>
      <c r="C3" s="2"/>
      <c r="O3" s="3" t="s">
        <v>73</v>
      </c>
    </row>
    <row r="5" spans="2:24" ht="15.75">
      <c r="B5" s="68" t="s">
        <v>1</v>
      </c>
      <c r="C5" s="2"/>
      <c r="O5" s="46" t="s">
        <v>78</v>
      </c>
      <c r="P5" s="47"/>
      <c r="Q5" s="47"/>
    </row>
    <row r="6" spans="2:24" ht="12" customHeight="1">
      <c r="B6" s="2"/>
      <c r="C6" s="2"/>
      <c r="O6" s="48" t="s">
        <v>52</v>
      </c>
      <c r="P6" s="48" t="s">
        <v>53</v>
      </c>
      <c r="Q6" s="48" t="s">
        <v>7</v>
      </c>
    </row>
    <row r="7" spans="2:24">
      <c r="B7" s="3" t="s">
        <v>3</v>
      </c>
      <c r="D7" s="23" t="s">
        <v>51</v>
      </c>
      <c r="O7" s="48" t="s">
        <v>54</v>
      </c>
      <c r="P7" s="48" t="s">
        <v>75</v>
      </c>
      <c r="Q7" s="48" t="s">
        <v>7</v>
      </c>
    </row>
    <row r="8" spans="2:24">
      <c r="B8" s="3" t="s">
        <v>2</v>
      </c>
      <c r="D8" s="23">
        <v>160</v>
      </c>
      <c r="E8" s="3" t="s">
        <v>5</v>
      </c>
      <c r="O8" s="48" t="s">
        <v>55</v>
      </c>
      <c r="P8" s="49" t="s">
        <v>56</v>
      </c>
      <c r="Q8" s="48" t="s">
        <v>7</v>
      </c>
    </row>
    <row r="9" spans="2:24">
      <c r="B9" s="3" t="s">
        <v>4</v>
      </c>
      <c r="D9" s="23">
        <v>4</v>
      </c>
      <c r="E9" s="3" t="s">
        <v>6</v>
      </c>
      <c r="O9" s="48"/>
      <c r="P9" s="48"/>
      <c r="Q9" s="48"/>
    </row>
    <row r="10" spans="2:24">
      <c r="D10" s="24"/>
      <c r="O10" s="48" t="s">
        <v>59</v>
      </c>
      <c r="P10" s="48" t="s">
        <v>57</v>
      </c>
      <c r="Q10" s="48" t="s">
        <v>7</v>
      </c>
    </row>
    <row r="11" spans="2:24">
      <c r="B11" s="3" t="s">
        <v>42</v>
      </c>
      <c r="D11" s="23">
        <v>140</v>
      </c>
      <c r="E11" s="3" t="s">
        <v>7</v>
      </c>
      <c r="N11" s="2"/>
      <c r="O11" s="48" t="s">
        <v>60</v>
      </c>
      <c r="P11" s="48" t="s">
        <v>58</v>
      </c>
      <c r="Q11" s="48" t="s">
        <v>7</v>
      </c>
    </row>
    <row r="12" spans="2:24">
      <c r="D12" s="24"/>
      <c r="O12" s="64"/>
      <c r="P12" s="64"/>
      <c r="Q12" s="64"/>
    </row>
    <row r="13" spans="2:24">
      <c r="B13" s="4" t="s">
        <v>117</v>
      </c>
      <c r="C13" s="4"/>
      <c r="D13" s="23">
        <v>50</v>
      </c>
      <c r="E13" s="3" t="s">
        <v>13</v>
      </c>
      <c r="H13" s="2" t="s">
        <v>118</v>
      </c>
      <c r="J13" s="2"/>
      <c r="O13" s="67" t="s">
        <v>77</v>
      </c>
      <c r="P13" s="48"/>
      <c r="Q13" s="48"/>
      <c r="S13" s="2"/>
      <c r="U13" s="2"/>
      <c r="W13" s="133"/>
      <c r="X13" s="131"/>
    </row>
    <row r="14" spans="2:24">
      <c r="B14" s="3" t="s">
        <v>8</v>
      </c>
      <c r="D14" s="23">
        <v>10</v>
      </c>
      <c r="E14" s="3" t="s">
        <v>9</v>
      </c>
      <c r="H14" s="3" t="s">
        <v>119</v>
      </c>
      <c r="L14" s="134">
        <v>60</v>
      </c>
      <c r="M14" s="4" t="s">
        <v>36</v>
      </c>
      <c r="O14" s="48" t="s">
        <v>136</v>
      </c>
      <c r="P14" s="48"/>
      <c r="Q14" s="48"/>
      <c r="W14" s="132"/>
      <c r="X14" s="4"/>
    </row>
    <row r="15" spans="2:24">
      <c r="B15" s="3" t="s">
        <v>11</v>
      </c>
      <c r="D15" s="23">
        <v>45</v>
      </c>
      <c r="E15" s="3" t="s">
        <v>9</v>
      </c>
      <c r="L15" s="133"/>
      <c r="M15" s="131"/>
      <c r="O15" s="64"/>
      <c r="P15" s="64"/>
      <c r="Q15" s="64"/>
    </row>
    <row r="16" spans="2:24">
      <c r="B16" s="3" t="s">
        <v>10</v>
      </c>
      <c r="D16" s="23">
        <v>351</v>
      </c>
      <c r="E16" s="3" t="s">
        <v>12</v>
      </c>
      <c r="H16" s="2"/>
      <c r="J16" s="2"/>
      <c r="L16" s="133"/>
      <c r="M16" s="131"/>
      <c r="O16" s="67" t="s">
        <v>10</v>
      </c>
      <c r="P16" s="48"/>
      <c r="Q16" s="48"/>
      <c r="S16" s="2" t="s">
        <v>120</v>
      </c>
      <c r="U16" s="2"/>
      <c r="W16" s="133"/>
      <c r="X16" s="131"/>
    </row>
    <row r="17" spans="2:24">
      <c r="B17" s="2"/>
      <c r="C17" s="2"/>
      <c r="L17" s="132"/>
      <c r="M17" s="4"/>
      <c r="O17" s="48" t="s">
        <v>68</v>
      </c>
      <c r="P17" s="48"/>
      <c r="Q17" s="48"/>
      <c r="S17" s="3" t="s">
        <v>121</v>
      </c>
      <c r="W17" s="132">
        <v>20</v>
      </c>
      <c r="X17" s="4" t="s">
        <v>36</v>
      </c>
    </row>
    <row r="18" spans="2:24" ht="15">
      <c r="B18" s="1" t="s">
        <v>14</v>
      </c>
      <c r="C18" s="2"/>
      <c r="L18" s="131"/>
      <c r="M18" s="4"/>
      <c r="O18" s="47" t="s">
        <v>135</v>
      </c>
      <c r="P18" s="47"/>
      <c r="Q18" s="47"/>
    </row>
    <row r="19" spans="2:24" ht="12" customHeight="1">
      <c r="B19" s="3" t="s">
        <v>155</v>
      </c>
    </row>
    <row r="20" spans="2:24">
      <c r="B20" s="3" t="s">
        <v>43</v>
      </c>
      <c r="D20" s="5">
        <f>D11*D8</f>
        <v>22400</v>
      </c>
      <c r="E20" s="3" t="s">
        <v>15</v>
      </c>
    </row>
    <row r="21" spans="2:24">
      <c r="B21" s="3" t="s">
        <v>44</v>
      </c>
      <c r="D21" s="5">
        <f>((D16*D9*D13*1.163*(D15-D14))/1000)+((D16*D9*D13*1.163*(D15-D14))/1000)*W17/100</f>
        <v>3428.9892</v>
      </c>
      <c r="E21" s="3" t="s">
        <v>15</v>
      </c>
    </row>
    <row r="22" spans="2:24">
      <c r="D22" s="5"/>
    </row>
    <row r="23" spans="2:24">
      <c r="B23" s="2" t="s">
        <v>17</v>
      </c>
      <c r="C23" s="2"/>
      <c r="D23" s="113">
        <f>D20+D21</f>
        <v>25828.9892</v>
      </c>
      <c r="E23" s="3" t="s">
        <v>15</v>
      </c>
    </row>
    <row r="24" spans="2:24">
      <c r="B24" s="2"/>
      <c r="C24" s="2"/>
    </row>
    <row r="25" spans="2:24" ht="16.5" thickBot="1">
      <c r="B25" s="68" t="s">
        <v>152</v>
      </c>
      <c r="C25" s="2"/>
    </row>
    <row r="26" spans="2:24">
      <c r="B26" s="6" t="s">
        <v>26</v>
      </c>
      <c r="C26" s="7"/>
      <c r="D26" s="8" t="s">
        <v>76</v>
      </c>
      <c r="E26" s="9"/>
      <c r="F26" s="10" t="s">
        <v>46</v>
      </c>
      <c r="G26" s="9"/>
      <c r="H26" s="8" t="s">
        <v>45</v>
      </c>
      <c r="I26" s="9"/>
      <c r="J26" s="8" t="s">
        <v>37</v>
      </c>
      <c r="K26" s="8" t="s">
        <v>47</v>
      </c>
      <c r="L26" s="8" t="s">
        <v>153</v>
      </c>
      <c r="M26" s="11"/>
    </row>
    <row r="27" spans="2:24" ht="13.5" thickBot="1">
      <c r="B27" s="150"/>
      <c r="D27" s="149" t="s">
        <v>79</v>
      </c>
      <c r="E27" s="15"/>
      <c r="F27" s="26"/>
      <c r="G27" s="15"/>
      <c r="H27" s="149" t="s">
        <v>63</v>
      </c>
      <c r="I27" s="15"/>
      <c r="J27" s="26" t="s">
        <v>38</v>
      </c>
      <c r="K27" s="149" t="s">
        <v>39</v>
      </c>
      <c r="L27" s="149"/>
      <c r="M27" s="16"/>
    </row>
    <row r="28" spans="2:24">
      <c r="B28" s="151" t="s">
        <v>111</v>
      </c>
      <c r="C28" s="161" t="s">
        <v>18</v>
      </c>
      <c r="D28" s="162">
        <f>(('Symulator - gaz ziemny'!$D$12*12+'Symulator - gaz ziemny'!$D$13*12+(('Symulator - gaz ziemny'!$D$14/100)*'Symulator - gaz ziemny'!$D$16)*L28+(('Symulator - gaz ziemny'!$D$15/100)*'Symulator - gaz ziemny'!$D$16)*L28)*1.23)/L28</f>
        <v>2.2536075468265717</v>
      </c>
      <c r="E28" s="9" t="s">
        <v>28</v>
      </c>
      <c r="F28" s="17">
        <v>9.86</v>
      </c>
      <c r="G28" s="9" t="s">
        <v>33</v>
      </c>
      <c r="H28" s="20">
        <v>70</v>
      </c>
      <c r="I28" s="7" t="s">
        <v>36</v>
      </c>
      <c r="J28" s="152">
        <f>($D$23/(H28/100*F28))*D28</f>
        <v>8433.5562138542482</v>
      </c>
      <c r="K28" s="35">
        <f>(1/(H28/100*F28))*D28</f>
        <v>0.32651514732346737</v>
      </c>
      <c r="L28" s="31">
        <f t="shared" ref="L28:L35" si="0">$D$23/(H28/100*F28)</f>
        <v>3742.2470588235296</v>
      </c>
      <c r="M28" s="11" t="s">
        <v>40</v>
      </c>
      <c r="O28" s="129" t="s">
        <v>116</v>
      </c>
      <c r="P28" s="129"/>
      <c r="Q28" s="129"/>
    </row>
    <row r="29" spans="2:24">
      <c r="B29" s="62"/>
      <c r="C29" s="58" t="s">
        <v>19</v>
      </c>
      <c r="D29" s="157">
        <f>(('Symulator - gaz ziemny'!$D$12*12+'Symulator - gaz ziemny'!$D$13*12+(('Symulator - gaz ziemny'!$D$14/100)*'Symulator - gaz ziemny'!$D$16)*L29+(('Symulator - gaz ziemny'!$D$15/100)*'Symulator - gaz ziemny'!$D$16)*L29)*1.23)/L29</f>
        <v>2.2712717237894084</v>
      </c>
      <c r="E29" s="15" t="s">
        <v>28</v>
      </c>
      <c r="F29" s="18">
        <v>9.86</v>
      </c>
      <c r="G29" s="15" t="s">
        <v>33</v>
      </c>
      <c r="H29" s="22">
        <v>85</v>
      </c>
      <c r="I29" s="3" t="s">
        <v>36</v>
      </c>
      <c r="J29" s="63">
        <f t="shared" ref="J29:J35" si="1">($D$23/(H29/100*F29))*D29</f>
        <v>6999.7199408211463</v>
      </c>
      <c r="K29" s="36">
        <f t="shared" ref="K29:K36" si="2">(1/(H29/100*F29))*D29</f>
        <v>0.27100247271082312</v>
      </c>
      <c r="L29" s="27">
        <f t="shared" si="0"/>
        <v>3081.8505190311425</v>
      </c>
      <c r="M29" s="16" t="s">
        <v>40</v>
      </c>
    </row>
    <row r="30" spans="2:24">
      <c r="B30" s="62"/>
      <c r="C30" s="58" t="s">
        <v>20</v>
      </c>
      <c r="D30" s="157">
        <f>(('Symulator - gaz ziemny'!$D$12*12+'Symulator - gaz ziemny'!$D$13*12+(('Symulator - gaz ziemny'!$D$14/100)*'Symulator - gaz ziemny'!$D$16)*L30+(('Symulator - gaz ziemny'!$D$15/100)*'Symulator - gaz ziemny'!$D$16)*L30)*1.23)/L30</f>
        <v>2.2936463479423348</v>
      </c>
      <c r="E30" s="15" t="s">
        <v>28</v>
      </c>
      <c r="F30" s="18">
        <v>9.86</v>
      </c>
      <c r="G30" s="15" t="s">
        <v>33</v>
      </c>
      <c r="H30" s="22">
        <v>104</v>
      </c>
      <c r="I30" s="3" t="s">
        <v>36</v>
      </c>
      <c r="J30" s="63">
        <f>($D$23/(H30/100*F30))*D30</f>
        <v>5777.2826054788202</v>
      </c>
      <c r="K30" s="36">
        <f>(1/(H30/100*F30))*D30</f>
        <v>0.22367435909876099</v>
      </c>
      <c r="L30" s="27">
        <f>$D$23/(H30/100*F30)</f>
        <v>2518.8201357466064</v>
      </c>
      <c r="M30" s="16" t="s">
        <v>40</v>
      </c>
    </row>
    <row r="31" spans="2:24" ht="13.5" thickBot="1">
      <c r="B31" s="62"/>
      <c r="C31" s="58" t="s">
        <v>151</v>
      </c>
      <c r="D31" s="166">
        <f>(('Symulator - gaz ziemny'!$D$12*12+'Symulator - gaz ziemny'!$D$13*12+(('Symulator - gaz ziemny'!$D$14/100)*'Symulator - gaz ziemny'!$D$16)*L31+(('Symulator - gaz ziemny'!$D$15/100)*'Symulator - gaz ziemny'!$D$16)*L31)*1.23)/L31</f>
        <v>2.3080846676695956</v>
      </c>
      <c r="E31" s="15" t="s">
        <v>28</v>
      </c>
      <c r="F31" s="158">
        <v>9.86</v>
      </c>
      <c r="G31" s="15" t="s">
        <v>33</v>
      </c>
      <c r="H31" s="159">
        <v>107</v>
      </c>
      <c r="I31" s="15" t="s">
        <v>36</v>
      </c>
      <c r="J31" s="63">
        <f>(($D$20+($D$21-($D$21*$L$14/100)))/(H31/100*F31))*D31</f>
        <v>5200.5512232041856</v>
      </c>
      <c r="K31" s="36">
        <f>(1/(H31/100*F31))*D31</f>
        <v>0.21877165055350567</v>
      </c>
      <c r="L31" s="27">
        <f>($D$20+($D$21-($D$21*$L$14/100)))/(H31/100*F31)</f>
        <v>2253.1891035241038</v>
      </c>
      <c r="M31" s="16" t="s">
        <v>40</v>
      </c>
    </row>
    <row r="32" spans="2:24">
      <c r="B32" s="167" t="s">
        <v>62</v>
      </c>
      <c r="C32" s="60" t="s">
        <v>20</v>
      </c>
      <c r="D32" s="17">
        <v>2.63</v>
      </c>
      <c r="E32" s="9" t="s">
        <v>29</v>
      </c>
      <c r="F32" s="17">
        <v>6.66</v>
      </c>
      <c r="G32" s="9" t="s">
        <v>34</v>
      </c>
      <c r="H32" s="20">
        <v>103</v>
      </c>
      <c r="I32" s="9" t="s">
        <v>36</v>
      </c>
      <c r="J32" s="168">
        <f t="shared" si="1"/>
        <v>9902.6562867722096</v>
      </c>
      <c r="K32" s="35">
        <f t="shared" si="2"/>
        <v>0.38339310183970376</v>
      </c>
      <c r="L32" s="169">
        <f t="shared" si="0"/>
        <v>3765.2685501035016</v>
      </c>
      <c r="M32" s="11" t="s">
        <v>48</v>
      </c>
    </row>
    <row r="33" spans="2:27" ht="13.5" thickBot="1">
      <c r="B33" s="163"/>
      <c r="C33" s="58" t="s">
        <v>151</v>
      </c>
      <c r="D33" s="18">
        <v>2.63</v>
      </c>
      <c r="E33" s="15" t="s">
        <v>29</v>
      </c>
      <c r="F33" s="18">
        <v>6.66</v>
      </c>
      <c r="G33" s="15" t="s">
        <v>34</v>
      </c>
      <c r="H33" s="22">
        <v>105</v>
      </c>
      <c r="I33" s="15" t="s">
        <v>36</v>
      </c>
      <c r="J33" s="164">
        <f>((($D$20+($D$21-($D$21*$L$14/100))))/(H33/100*F33))*D33</f>
        <v>8940.2683595595572</v>
      </c>
      <c r="K33" s="36">
        <f t="shared" si="2"/>
        <v>0.37609037609037604</v>
      </c>
      <c r="L33" s="172">
        <f>($D$20+($D$21-($D$21*$L$14/100)))/(H33/100*F33)</f>
        <v>3399.3415815815811</v>
      </c>
      <c r="M33" s="16" t="s">
        <v>48</v>
      </c>
    </row>
    <row r="34" spans="2:27">
      <c r="B34" s="50" t="s">
        <v>21</v>
      </c>
      <c r="C34" s="60" t="s">
        <v>19</v>
      </c>
      <c r="D34" s="17">
        <v>2.74</v>
      </c>
      <c r="E34" s="9" t="s">
        <v>29</v>
      </c>
      <c r="F34" s="17">
        <v>10.220000000000001</v>
      </c>
      <c r="G34" s="9" t="s">
        <v>34</v>
      </c>
      <c r="H34" s="20">
        <v>88</v>
      </c>
      <c r="I34" s="9" t="s">
        <v>36</v>
      </c>
      <c r="J34" s="38">
        <f t="shared" si="1"/>
        <v>7869.088063511831</v>
      </c>
      <c r="K34" s="35">
        <f t="shared" si="2"/>
        <v>0.30466109233232525</v>
      </c>
      <c r="L34" s="169">
        <f t="shared" si="0"/>
        <v>2871.9299501867995</v>
      </c>
      <c r="M34" s="11" t="s">
        <v>48</v>
      </c>
    </row>
    <row r="35" spans="2:27">
      <c r="B35" s="171"/>
      <c r="C35" s="58" t="s">
        <v>20</v>
      </c>
      <c r="D35" s="18">
        <v>2.74</v>
      </c>
      <c r="E35" s="15" t="s">
        <v>29</v>
      </c>
      <c r="F35" s="18">
        <v>10.220000000000001</v>
      </c>
      <c r="G35" s="15" t="s">
        <v>34</v>
      </c>
      <c r="H35" s="22">
        <v>100</v>
      </c>
      <c r="I35" s="15" t="s">
        <v>36</v>
      </c>
      <c r="J35" s="165">
        <f t="shared" si="1"/>
        <v>6924.7974958904106</v>
      </c>
      <c r="K35" s="36">
        <f t="shared" si="2"/>
        <v>0.26810176125244617</v>
      </c>
      <c r="L35" s="172">
        <f t="shared" si="0"/>
        <v>2527.2983561643832</v>
      </c>
      <c r="M35" s="16" t="s">
        <v>48</v>
      </c>
    </row>
    <row r="36" spans="2:27" ht="13.5" thickBot="1">
      <c r="B36" s="51"/>
      <c r="C36" s="59" t="s">
        <v>151</v>
      </c>
      <c r="D36" s="19">
        <v>2.74</v>
      </c>
      <c r="E36" s="13" t="s">
        <v>29</v>
      </c>
      <c r="F36" s="19">
        <v>10.220000000000001</v>
      </c>
      <c r="G36" s="13" t="s">
        <v>34</v>
      </c>
      <c r="H36" s="21">
        <v>102</v>
      </c>
      <c r="I36" s="13" t="s">
        <v>36</v>
      </c>
      <c r="J36" s="39">
        <f>(($D$20+($D$21-($D$21*$L$14/100)))/(H36/100*F36))*D36</f>
        <v>6248.2418329304328</v>
      </c>
      <c r="K36" s="37">
        <f t="shared" si="2"/>
        <v>0.26284486397298645</v>
      </c>
      <c r="L36" s="170">
        <f>($D$20+($D$21-($D$21*$L$14/100)))/(H36/100*F36)</f>
        <v>2280.3802309965081</v>
      </c>
      <c r="M36" s="14" t="s">
        <v>48</v>
      </c>
    </row>
    <row r="37" spans="2:27">
      <c r="B37" s="173" t="s">
        <v>61</v>
      </c>
      <c r="C37" s="58" t="s">
        <v>129</v>
      </c>
      <c r="D37" s="22">
        <v>500</v>
      </c>
      <c r="E37" s="15" t="s">
        <v>32</v>
      </c>
      <c r="F37" s="18">
        <v>6.38</v>
      </c>
      <c r="G37" s="15" t="s">
        <v>35</v>
      </c>
      <c r="H37" s="22">
        <v>60</v>
      </c>
      <c r="I37" s="3" t="s">
        <v>36</v>
      </c>
      <c r="J37" s="174">
        <f>(($W$43/(H37/100*F37))*(D37/1000))+(W44*W45)</f>
        <v>4030.034518458725</v>
      </c>
      <c r="K37" s="36">
        <f>(1/(H37/100*F37))*(D37/1000)</f>
        <v>0.13061650992685475</v>
      </c>
      <c r="L37" s="160">
        <f>($D$23/(H37/100*F37))/1000</f>
        <v>6.7473848484848489</v>
      </c>
      <c r="M37" s="16" t="s">
        <v>49</v>
      </c>
      <c r="S37" s="135" t="s">
        <v>122</v>
      </c>
      <c r="T37" s="136"/>
      <c r="U37" s="136"/>
      <c r="V37" s="136"/>
      <c r="W37" s="136"/>
      <c r="X37" s="136"/>
      <c r="Y37" s="136"/>
      <c r="Z37" s="136"/>
      <c r="AA37" s="136"/>
    </row>
    <row r="38" spans="2:27" ht="13.5" thickBot="1">
      <c r="B38" s="52"/>
      <c r="C38" s="59" t="s">
        <v>27</v>
      </c>
      <c r="D38" s="21">
        <v>900</v>
      </c>
      <c r="E38" s="13" t="s">
        <v>32</v>
      </c>
      <c r="F38" s="19">
        <v>7.22</v>
      </c>
      <c r="G38" s="13" t="s">
        <v>35</v>
      </c>
      <c r="H38" s="21">
        <v>70</v>
      </c>
      <c r="I38" s="12" t="s">
        <v>36</v>
      </c>
      <c r="J38" s="40">
        <f>($D$23/(H38/100*F38))*(D38/1000)</f>
        <v>4599.5429916897519</v>
      </c>
      <c r="K38" s="37">
        <f>(1/(H38/100*F38))*(D38/1000)</f>
        <v>0.17807677087455484</v>
      </c>
      <c r="L38" s="34">
        <f>($D$23/(H38/100*F38))/1000</f>
        <v>5.1106033240997242</v>
      </c>
      <c r="M38" s="14" t="s">
        <v>49</v>
      </c>
      <c r="S38" s="136" t="s">
        <v>123</v>
      </c>
      <c r="T38" s="137"/>
      <c r="U38" s="138">
        <f>D21/12</f>
        <v>285.7491</v>
      </c>
      <c r="V38" s="136" t="s">
        <v>124</v>
      </c>
      <c r="W38" s="136"/>
      <c r="X38" s="136"/>
      <c r="Y38" s="136"/>
      <c r="Z38" s="136"/>
      <c r="AA38" s="136"/>
    </row>
    <row r="39" spans="2:27">
      <c r="B39" s="53" t="s">
        <v>25</v>
      </c>
      <c r="C39" s="60" t="s">
        <v>70</v>
      </c>
      <c r="D39" s="20">
        <v>200</v>
      </c>
      <c r="E39" s="9" t="s">
        <v>31</v>
      </c>
      <c r="F39" s="17">
        <v>3.8</v>
      </c>
      <c r="G39" s="9" t="s">
        <v>35</v>
      </c>
      <c r="H39" s="20">
        <v>80</v>
      </c>
      <c r="I39" s="7" t="s">
        <v>36</v>
      </c>
      <c r="J39" s="41">
        <f>($D$23/(H39/100*F39))*(D39/474.5)</f>
        <v>3581.1920026620824</v>
      </c>
      <c r="K39" s="35">
        <f>(1/(H39/100*F39))*(D39/474.5)</f>
        <v>0.13865010260107594</v>
      </c>
      <c r="L39" s="32">
        <f>($D$23/(H39/100*F39))/474.5</f>
        <v>17.905960013310409</v>
      </c>
      <c r="M39" s="11" t="s">
        <v>50</v>
      </c>
      <c r="S39" s="136" t="s">
        <v>125</v>
      </c>
      <c r="T39" s="139"/>
      <c r="U39" s="140">
        <v>5</v>
      </c>
      <c r="V39" s="136" t="s">
        <v>126</v>
      </c>
      <c r="W39" s="136"/>
      <c r="X39" s="136"/>
      <c r="Y39" s="136"/>
      <c r="Z39" s="136"/>
      <c r="AA39" s="136"/>
    </row>
    <row r="40" spans="2:27" ht="13.5" thickBot="1">
      <c r="B40" s="54"/>
      <c r="C40" s="59" t="s">
        <v>71</v>
      </c>
      <c r="D40" s="21">
        <v>900</v>
      </c>
      <c r="E40" s="13" t="s">
        <v>32</v>
      </c>
      <c r="F40" s="19">
        <v>5.28</v>
      </c>
      <c r="G40" s="13" t="s">
        <v>35</v>
      </c>
      <c r="H40" s="21">
        <v>85</v>
      </c>
      <c r="I40" s="12" t="s">
        <v>36</v>
      </c>
      <c r="J40" s="42">
        <f>($D$23/(H40/100*F40))*(D40/1000)</f>
        <v>5179.6101336898391</v>
      </c>
      <c r="K40" s="37">
        <f>(1/(H40/100*F40))*(D40/1000)</f>
        <v>0.20053475935828874</v>
      </c>
      <c r="L40" s="34">
        <f>($D$23/(H40/100*F40))/1000</f>
        <v>5.7551223707664878</v>
      </c>
      <c r="M40" s="14" t="s">
        <v>49</v>
      </c>
      <c r="S40" s="136" t="s">
        <v>127</v>
      </c>
      <c r="T40" s="136"/>
      <c r="U40" s="137">
        <f>U38*U39</f>
        <v>1428.7455</v>
      </c>
      <c r="V40" s="136" t="s">
        <v>15</v>
      </c>
      <c r="W40" s="136"/>
      <c r="X40" s="136"/>
      <c r="Y40" s="136"/>
      <c r="Z40" s="136"/>
      <c r="AA40" s="136"/>
    </row>
    <row r="41" spans="2:27">
      <c r="B41" s="55" t="s">
        <v>22</v>
      </c>
      <c r="C41" s="60" t="s">
        <v>24</v>
      </c>
      <c r="D41" s="17">
        <v>0.41</v>
      </c>
      <c r="E41" s="9" t="s">
        <v>30</v>
      </c>
      <c r="F41" s="28">
        <v>1</v>
      </c>
      <c r="G41" s="9" t="s">
        <v>16</v>
      </c>
      <c r="H41" s="69">
        <v>4</v>
      </c>
      <c r="I41" s="7" t="s">
        <v>16</v>
      </c>
      <c r="J41" s="43">
        <f>($D$23/(H41*F41))*D41</f>
        <v>2647.4713929999998</v>
      </c>
      <c r="K41" s="35">
        <f>(1/(H41*F41))*D41</f>
        <v>0.10249999999999999</v>
      </c>
      <c r="L41" s="31">
        <f>$D$23/(H41*F41)</f>
        <v>6457.2473</v>
      </c>
      <c r="M41" s="11" t="s">
        <v>15</v>
      </c>
      <c r="O41" s="65" t="s">
        <v>69</v>
      </c>
      <c r="P41" s="65"/>
      <c r="Q41" s="65"/>
      <c r="S41" s="136" t="s">
        <v>128</v>
      </c>
      <c r="T41" s="136"/>
      <c r="U41" s="137">
        <f>D21-U40</f>
        <v>2000.2437</v>
      </c>
      <c r="V41" s="136" t="s">
        <v>15</v>
      </c>
      <c r="W41" s="136"/>
      <c r="X41" s="136"/>
      <c r="Y41" s="136"/>
      <c r="Z41" s="136"/>
      <c r="AA41" s="136"/>
    </row>
    <row r="42" spans="2:27">
      <c r="B42" s="56"/>
      <c r="C42" s="58" t="s">
        <v>23</v>
      </c>
      <c r="D42" s="18">
        <v>0.56000000000000005</v>
      </c>
      <c r="E42" s="15" t="s">
        <v>30</v>
      </c>
      <c r="F42" s="29">
        <v>1</v>
      </c>
      <c r="G42" s="15" t="s">
        <v>16</v>
      </c>
      <c r="H42" s="70">
        <v>3.2</v>
      </c>
      <c r="I42" s="3" t="s">
        <v>16</v>
      </c>
      <c r="J42" s="44">
        <f>($D$23/(H42*F42))*D42</f>
        <v>4520.0731100000003</v>
      </c>
      <c r="K42" s="36">
        <f>(1/(H42*F42))*D42</f>
        <v>0.17500000000000002</v>
      </c>
      <c r="L42" s="27">
        <f>$D$23/(H42*F42)</f>
        <v>8071.5591249999998</v>
      </c>
      <c r="M42" s="16" t="s">
        <v>15</v>
      </c>
      <c r="O42" s="65" t="s">
        <v>158</v>
      </c>
      <c r="P42" s="65"/>
      <c r="Q42" s="65"/>
      <c r="S42" s="136"/>
      <c r="T42" s="136"/>
      <c r="U42" s="141"/>
      <c r="V42" s="136"/>
      <c r="W42" s="136"/>
      <c r="X42" s="136"/>
      <c r="Y42" s="136"/>
      <c r="Z42" s="136"/>
      <c r="AA42" s="136"/>
    </row>
    <row r="43" spans="2:27" ht="13.5" thickBot="1">
      <c r="B43" s="57"/>
      <c r="C43" s="61" t="s">
        <v>41</v>
      </c>
      <c r="D43" s="19">
        <v>0.35</v>
      </c>
      <c r="E43" s="12" t="s">
        <v>30</v>
      </c>
      <c r="F43" s="30">
        <v>1</v>
      </c>
      <c r="G43" s="13" t="s">
        <v>16</v>
      </c>
      <c r="H43" s="66">
        <v>1</v>
      </c>
      <c r="I43" s="12" t="s">
        <v>16</v>
      </c>
      <c r="J43" s="45">
        <f>($D$23/(H43*F43))*D43</f>
        <v>9040.1462199999987</v>
      </c>
      <c r="K43" s="37">
        <f>(1/(H43*F43))*D43</f>
        <v>0.35</v>
      </c>
      <c r="L43" s="33">
        <f>$D$23/(H43*F43)</f>
        <v>25828.9892</v>
      </c>
      <c r="M43" s="14" t="s">
        <v>15</v>
      </c>
      <c r="O43" s="65" t="s">
        <v>64</v>
      </c>
      <c r="P43" s="65"/>
      <c r="Q43" s="65"/>
      <c r="S43" s="136" t="s">
        <v>132</v>
      </c>
      <c r="T43" s="136"/>
      <c r="U43" s="136"/>
      <c r="V43" s="135"/>
      <c r="W43" s="142">
        <f>D20+U41</f>
        <v>24400.243699999999</v>
      </c>
      <c r="X43" s="136" t="s">
        <v>15</v>
      </c>
      <c r="Y43" s="136"/>
      <c r="Z43" s="136"/>
      <c r="AA43" s="136"/>
    </row>
    <row r="44" spans="2:27">
      <c r="O44" s="65" t="s">
        <v>65</v>
      </c>
      <c r="P44" s="65"/>
      <c r="Q44" s="65"/>
      <c r="S44" s="136" t="s">
        <v>130</v>
      </c>
      <c r="T44" s="136"/>
      <c r="U44" s="136"/>
      <c r="V44" s="136"/>
      <c r="W44" s="142">
        <f>U40</f>
        <v>1428.7455</v>
      </c>
      <c r="X44" s="136" t="s">
        <v>15</v>
      </c>
      <c r="Y44" s="136"/>
      <c r="Z44" s="136"/>
      <c r="AA44" s="136"/>
    </row>
    <row r="45" spans="2:27">
      <c r="B45" s="71" t="s">
        <v>72</v>
      </c>
      <c r="O45" s="65"/>
      <c r="P45" s="65"/>
      <c r="Q45" s="65"/>
      <c r="S45" s="136" t="s">
        <v>131</v>
      </c>
      <c r="T45" s="136"/>
      <c r="U45" s="136"/>
      <c r="V45" s="136"/>
      <c r="W45" s="143">
        <v>0.59</v>
      </c>
      <c r="X45" s="136" t="s">
        <v>30</v>
      </c>
      <c r="Y45" s="136"/>
      <c r="Z45" s="136"/>
      <c r="AA45" s="136"/>
    </row>
    <row r="46" spans="2:27">
      <c r="B46" s="64" t="s">
        <v>174</v>
      </c>
      <c r="O46" s="65" t="s">
        <v>159</v>
      </c>
      <c r="P46" s="65"/>
      <c r="Q46" s="65"/>
      <c r="S46" s="136" t="s">
        <v>134</v>
      </c>
      <c r="T46" s="136"/>
      <c r="U46" s="136"/>
      <c r="V46" s="136"/>
      <c r="W46" s="135">
        <f>W44*W45</f>
        <v>842.95984499999997</v>
      </c>
      <c r="X46" s="136" t="s">
        <v>133</v>
      </c>
      <c r="Y46" s="144">
        <f>U39</f>
        <v>5</v>
      </c>
      <c r="Z46" s="136" t="s">
        <v>126</v>
      </c>
      <c r="AA46" s="136"/>
    </row>
    <row r="47" spans="2:27">
      <c r="B47" s="64"/>
      <c r="E47" s="130"/>
      <c r="O47" s="65" t="s">
        <v>157</v>
      </c>
      <c r="P47" s="65"/>
      <c r="Q47" s="65"/>
    </row>
    <row r="48" spans="2:27">
      <c r="B48" s="3" t="s">
        <v>115</v>
      </c>
      <c r="E48" s="130"/>
      <c r="O48" s="65" t="s">
        <v>66</v>
      </c>
      <c r="P48" s="65"/>
      <c r="Q48" s="65"/>
    </row>
    <row r="49" spans="2:17">
      <c r="B49" s="3" t="s">
        <v>74</v>
      </c>
      <c r="O49" s="65" t="s">
        <v>67</v>
      </c>
      <c r="P49" s="65"/>
      <c r="Q49" s="65"/>
    </row>
    <row r="51" spans="2:17" ht="15">
      <c r="B51" s="3" t="s">
        <v>108</v>
      </c>
      <c r="O51" s="178" t="s">
        <v>166</v>
      </c>
      <c r="P51" s="65"/>
      <c r="Q51" s="65"/>
    </row>
    <row r="52" spans="2:17">
      <c r="B52" s="3" t="s">
        <v>106</v>
      </c>
      <c r="O52" s="65" t="s">
        <v>167</v>
      </c>
      <c r="P52" s="65"/>
      <c r="Q52" s="65"/>
    </row>
    <row r="53" spans="2:17">
      <c r="B53" s="2" t="s">
        <v>107</v>
      </c>
      <c r="O53" s="65" t="s">
        <v>168</v>
      </c>
      <c r="P53" s="65"/>
      <c r="Q53" s="65"/>
    </row>
    <row r="54" spans="2:17">
      <c r="B54" s="2"/>
      <c r="O54" s="65" t="s">
        <v>169</v>
      </c>
      <c r="P54" s="65"/>
      <c r="Q54" s="65"/>
    </row>
    <row r="55" spans="2:17">
      <c r="B55" s="3" t="s">
        <v>80</v>
      </c>
      <c r="O55" s="177" t="s">
        <v>170</v>
      </c>
      <c r="P55" s="65"/>
      <c r="Q55" s="65"/>
    </row>
    <row r="56" spans="2:17">
      <c r="O56" s="179" t="s">
        <v>173</v>
      </c>
      <c r="P56" s="65"/>
      <c r="Q56" s="65"/>
    </row>
    <row r="57" spans="2:17">
      <c r="O57" s="177"/>
      <c r="P57" s="65"/>
      <c r="Q57" s="65"/>
    </row>
    <row r="58" spans="2:17" ht="15">
      <c r="O58" s="177" t="s">
        <v>171</v>
      </c>
      <c r="P58" s="65"/>
      <c r="Q58" s="65"/>
    </row>
    <row r="59" spans="2:17">
      <c r="O59" s="65" t="s">
        <v>161</v>
      </c>
      <c r="P59" s="65"/>
      <c r="Q59" s="65"/>
    </row>
    <row r="60" spans="2:17">
      <c r="O60" s="65" t="s">
        <v>172</v>
      </c>
      <c r="P60" s="65"/>
      <c r="Q60" s="65"/>
    </row>
    <row r="61" spans="2:17">
      <c r="O61" s="179" t="s">
        <v>160</v>
      </c>
      <c r="P61" s="65"/>
      <c r="Q61" s="65"/>
    </row>
    <row r="62" spans="2:17">
      <c r="O62" s="65"/>
      <c r="P62" s="65"/>
      <c r="Q62" s="65"/>
    </row>
  </sheetData>
  <hyperlinks>
    <hyperlink ref="E56" r:id="rId1" display="http://ure.gov.pl/ftp/ure-kalkulator/ure/formularz_kalkulator_html.php"/>
    <hyperlink ref="O61" r:id="rId2" display="http://portpc.pl/?page_id=344"/>
    <hyperlink ref="O56" r:id="rId3"/>
  </hyperlinks>
  <pageMargins left="0.28000000000000003" right="0.51" top="0.27559055118110237" bottom="0.31496062992125984" header="0.31496062992125984" footer="0.31496062992125984"/>
  <pageSetup paperSize="9" orientation="landscape" r:id="rId4"/>
  <ignoredErrors>
    <ignoredError sqref="J39:L39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U72"/>
  <sheetViews>
    <sheetView zoomScaleNormal="100" workbookViewId="0">
      <selection activeCell="I38" sqref="I38"/>
    </sheetView>
  </sheetViews>
  <sheetFormatPr defaultRowHeight="12.75"/>
  <cols>
    <col min="1" max="1" width="3.28515625" style="73" customWidth="1"/>
    <col min="2" max="2" width="8.42578125" style="73" customWidth="1"/>
    <col min="3" max="3" width="19.5703125" style="73" customWidth="1"/>
    <col min="4" max="4" width="7" style="73" customWidth="1"/>
    <col min="5" max="5" width="12.85546875" style="73" customWidth="1"/>
    <col min="6" max="6" width="16.85546875" style="73" customWidth="1"/>
    <col min="7" max="7" width="11" style="73" customWidth="1"/>
    <col min="8" max="8" width="17.28515625" style="73" customWidth="1"/>
    <col min="9" max="9" width="19" style="73" customWidth="1"/>
    <col min="10" max="10" width="15.28515625" style="73" customWidth="1"/>
    <col min="11" max="11" width="8.85546875" style="73" customWidth="1"/>
    <col min="12" max="12" width="9.140625" style="73" customWidth="1"/>
    <col min="13" max="13" width="9.140625" style="73"/>
    <col min="14" max="14" width="12.85546875" style="73" customWidth="1"/>
    <col min="15" max="15" width="12.7109375" style="73" customWidth="1"/>
    <col min="16" max="17" width="8.7109375" style="73" customWidth="1"/>
    <col min="18" max="18" width="9.140625" style="73"/>
    <col min="19" max="19" width="9.42578125" style="73" customWidth="1"/>
    <col min="20" max="20" width="8.140625" style="73" customWidth="1"/>
    <col min="21" max="21" width="9.28515625" style="73" customWidth="1"/>
    <col min="22" max="16384" width="9.140625" style="73"/>
  </cols>
  <sheetData>
    <row r="2" spans="2:21" ht="18">
      <c r="B2" s="25" t="s">
        <v>81</v>
      </c>
      <c r="M2" s="130" t="s">
        <v>114</v>
      </c>
      <c r="N2" s="3"/>
    </row>
    <row r="3" spans="2:21">
      <c r="B3" s="3"/>
      <c r="M3" s="3" t="s">
        <v>73</v>
      </c>
      <c r="N3" s="3"/>
    </row>
    <row r="4" spans="2:21">
      <c r="M4" s="74"/>
    </row>
    <row r="5" spans="2:21">
      <c r="B5" s="74" t="s">
        <v>113</v>
      </c>
      <c r="D5" s="79">
        <f>'Koszty ogrzewania'!L30</f>
        <v>2518.8201357466064</v>
      </c>
      <c r="E5" s="73" t="s">
        <v>144</v>
      </c>
      <c r="F5" s="148">
        <f>D5*D16</f>
        <v>27631.456889140274</v>
      </c>
      <c r="G5" s="73" t="s">
        <v>15</v>
      </c>
      <c r="M5" s="121" t="s">
        <v>156</v>
      </c>
      <c r="N5" s="121"/>
      <c r="O5" s="121"/>
      <c r="P5" s="121"/>
      <c r="Q5" s="121"/>
      <c r="R5" s="121"/>
      <c r="S5" s="121"/>
      <c r="T5" s="121"/>
      <c r="U5" s="121"/>
    </row>
    <row r="6" spans="2:21">
      <c r="B6" s="74"/>
      <c r="D6" s="80"/>
    </row>
    <row r="7" spans="2:21">
      <c r="B7" s="74" t="s">
        <v>112</v>
      </c>
      <c r="D7" s="81" t="s">
        <v>162</v>
      </c>
      <c r="M7" s="119" t="s">
        <v>164</v>
      </c>
      <c r="N7" s="119"/>
      <c r="O7" s="119"/>
      <c r="P7" s="119"/>
      <c r="Q7" s="119"/>
      <c r="R7" s="119"/>
      <c r="S7" s="119"/>
      <c r="T7" s="119"/>
      <c r="U7" s="119"/>
    </row>
    <row r="8" spans="2:21">
      <c r="B8" s="74" t="s">
        <v>86</v>
      </c>
      <c r="D8" s="78" t="s">
        <v>163</v>
      </c>
      <c r="M8" s="119" t="s">
        <v>165</v>
      </c>
      <c r="N8" s="119"/>
      <c r="O8" s="119"/>
      <c r="P8" s="119"/>
      <c r="Q8" s="119"/>
      <c r="R8" s="119"/>
      <c r="S8" s="119"/>
      <c r="T8" s="119"/>
      <c r="U8" s="119"/>
    </row>
    <row r="9" spans="2:21">
      <c r="D9" s="75"/>
      <c r="M9" s="119" t="s">
        <v>154</v>
      </c>
      <c r="N9" s="119"/>
      <c r="O9" s="119"/>
      <c r="P9" s="119"/>
      <c r="Q9" s="119"/>
      <c r="R9" s="119"/>
      <c r="S9" s="119"/>
      <c r="T9" s="119"/>
      <c r="U9" s="119"/>
    </row>
    <row r="10" spans="2:21">
      <c r="D10" s="75"/>
      <c r="M10" s="120" t="s">
        <v>138</v>
      </c>
      <c r="N10" s="119"/>
      <c r="O10" s="119"/>
      <c r="P10" s="119"/>
      <c r="Q10" s="119"/>
      <c r="R10" s="119"/>
      <c r="S10" s="119"/>
      <c r="T10" s="119"/>
      <c r="U10" s="119"/>
    </row>
    <row r="11" spans="2:21">
      <c r="B11" s="74" t="s">
        <v>148</v>
      </c>
      <c r="D11" s="75"/>
      <c r="F11" s="74"/>
      <c r="M11" s="119" t="s">
        <v>139</v>
      </c>
      <c r="N11" s="119"/>
      <c r="O11" s="119"/>
      <c r="P11" s="119"/>
      <c r="Q11" s="119"/>
      <c r="R11" s="119"/>
      <c r="S11" s="119"/>
      <c r="T11" s="119"/>
      <c r="U11" s="119"/>
    </row>
    <row r="12" spans="2:21">
      <c r="B12" s="73" t="s">
        <v>83</v>
      </c>
      <c r="D12" s="147">
        <v>5.5</v>
      </c>
      <c r="E12" s="73" t="s">
        <v>82</v>
      </c>
      <c r="M12" s="119" t="s">
        <v>140</v>
      </c>
      <c r="N12" s="119"/>
      <c r="O12" s="119"/>
      <c r="P12" s="119"/>
      <c r="Q12" s="119"/>
      <c r="R12" s="119"/>
      <c r="S12" s="119"/>
      <c r="T12" s="119"/>
      <c r="U12" s="119"/>
    </row>
    <row r="13" spans="2:21">
      <c r="B13" s="73" t="s">
        <v>141</v>
      </c>
      <c r="D13" s="78">
        <v>15.4</v>
      </c>
      <c r="E13" s="73" t="s">
        <v>82</v>
      </c>
      <c r="M13" s="74"/>
    </row>
    <row r="14" spans="2:21">
      <c r="B14" s="73" t="s">
        <v>84</v>
      </c>
      <c r="D14" s="176">
        <v>10.978999999999999</v>
      </c>
      <c r="E14" s="73" t="s">
        <v>142</v>
      </c>
    </row>
    <row r="15" spans="2:21">
      <c r="B15" s="73" t="s">
        <v>143</v>
      </c>
      <c r="D15" s="78">
        <v>5.1120000000000001</v>
      </c>
      <c r="E15" s="73" t="s">
        <v>142</v>
      </c>
      <c r="M15" s="74"/>
    </row>
    <row r="16" spans="2:21">
      <c r="B16" s="73" t="s">
        <v>137</v>
      </c>
      <c r="D16" s="175">
        <v>10.97</v>
      </c>
      <c r="E16" s="73" t="s">
        <v>33</v>
      </c>
      <c r="M16" s="71"/>
      <c r="N16" s="64"/>
      <c r="O16" s="64"/>
      <c r="P16" s="64"/>
      <c r="Q16" s="64"/>
      <c r="R16" s="64"/>
      <c r="S16" s="64"/>
      <c r="T16" s="64"/>
      <c r="U16" s="64"/>
    </row>
    <row r="17" spans="2:21">
      <c r="M17" s="64"/>
      <c r="N17" s="64"/>
      <c r="O17" s="64"/>
      <c r="P17" s="64"/>
      <c r="Q17" s="64"/>
      <c r="R17" s="64"/>
      <c r="S17" s="64"/>
      <c r="T17" s="64"/>
      <c r="U17" s="64"/>
    </row>
    <row r="18" spans="2:21" ht="15.75">
      <c r="B18" s="106" t="s">
        <v>85</v>
      </c>
      <c r="M18" s="76"/>
      <c r="N18" s="64"/>
      <c r="O18" s="64"/>
      <c r="P18" s="64"/>
      <c r="Q18" s="64"/>
      <c r="R18" s="64"/>
      <c r="S18" s="64"/>
      <c r="T18" s="64"/>
      <c r="U18" s="64"/>
    </row>
    <row r="19" spans="2:21" ht="13.5" thickBot="1">
      <c r="M19" s="64"/>
      <c r="N19" s="64"/>
      <c r="O19" s="64"/>
      <c r="P19" s="145"/>
      <c r="Q19" s="145"/>
      <c r="R19" s="145"/>
      <c r="S19" s="145"/>
      <c r="T19" s="145"/>
      <c r="U19" s="145"/>
    </row>
    <row r="20" spans="2:21">
      <c r="B20" s="100" t="s">
        <v>96</v>
      </c>
      <c r="C20" s="112" t="s">
        <v>97</v>
      </c>
      <c r="D20" s="83"/>
      <c r="E20" s="77" t="s">
        <v>101</v>
      </c>
      <c r="F20" s="82" t="s">
        <v>145</v>
      </c>
      <c r="G20" s="82" t="s">
        <v>146</v>
      </c>
      <c r="H20" s="83" t="s">
        <v>150</v>
      </c>
      <c r="I20" s="83" t="s">
        <v>147</v>
      </c>
      <c r="J20" s="83" t="s">
        <v>102</v>
      </c>
      <c r="K20" s="100" t="s">
        <v>96</v>
      </c>
      <c r="M20" s="64"/>
      <c r="N20" s="64"/>
      <c r="O20" s="64"/>
      <c r="P20" s="92"/>
      <c r="Q20" s="92"/>
      <c r="R20" s="92"/>
      <c r="S20" s="92"/>
      <c r="T20" s="92"/>
      <c r="U20" s="92"/>
    </row>
    <row r="21" spans="2:21" ht="13.5" thickBot="1">
      <c r="B21" s="101"/>
      <c r="C21" s="84" t="s">
        <v>36</v>
      </c>
      <c r="D21" s="86" t="s">
        <v>103</v>
      </c>
      <c r="E21" s="105" t="s">
        <v>104</v>
      </c>
      <c r="F21" s="91" t="s">
        <v>149</v>
      </c>
      <c r="G21" s="90" t="s">
        <v>104</v>
      </c>
      <c r="H21" s="156" t="s">
        <v>104</v>
      </c>
      <c r="I21" s="86" t="s">
        <v>104</v>
      </c>
      <c r="J21" s="86" t="s">
        <v>105</v>
      </c>
      <c r="K21" s="101"/>
      <c r="M21" s="64"/>
      <c r="N21" s="64"/>
      <c r="O21" s="64"/>
      <c r="P21" s="92"/>
      <c r="Q21" s="92"/>
      <c r="R21" s="92"/>
      <c r="S21" s="92"/>
      <c r="T21" s="92"/>
      <c r="U21" s="92"/>
    </row>
    <row r="22" spans="2:21">
      <c r="B22" s="102" t="s">
        <v>87</v>
      </c>
      <c r="C22" s="123">
        <v>0.19</v>
      </c>
      <c r="D22" s="126">
        <f>$D$5*C22</f>
        <v>478.57582579185521</v>
      </c>
      <c r="E22" s="153">
        <f>D12</f>
        <v>5.5</v>
      </c>
      <c r="F22" s="87">
        <f>D13</f>
        <v>15.4</v>
      </c>
      <c r="G22" s="88">
        <f>(($D$14/100)*$D$16)*D22</f>
        <v>576.39495385315502</v>
      </c>
      <c r="H22" s="89">
        <f>(($D$15/100)*$D$16)*D22</f>
        <v>268.37881447284167</v>
      </c>
      <c r="I22" s="89">
        <f>SUM(E22:H22)</f>
        <v>865.67376832599666</v>
      </c>
      <c r="J22" s="115">
        <f>1.23*I22</f>
        <v>1064.7787350409758</v>
      </c>
      <c r="K22" s="102" t="s">
        <v>87</v>
      </c>
      <c r="M22" s="64"/>
      <c r="N22" s="64"/>
      <c r="O22" s="64"/>
      <c r="P22" s="111"/>
      <c r="Q22" s="111"/>
      <c r="R22" s="111"/>
      <c r="S22" s="111"/>
      <c r="T22" s="111"/>
      <c r="U22" s="111"/>
    </row>
    <row r="23" spans="2:21">
      <c r="B23" s="103" t="s">
        <v>88</v>
      </c>
      <c r="C23" s="124">
        <v>0.16</v>
      </c>
      <c r="D23" s="127">
        <f t="shared" ref="D23:D33" si="0">$D$5*C23</f>
        <v>403.01122171945701</v>
      </c>
      <c r="E23" s="154">
        <f>D12</f>
        <v>5.5</v>
      </c>
      <c r="F23" s="91">
        <f>D13</f>
        <v>15.4</v>
      </c>
      <c r="G23" s="92">
        <f t="shared" ref="G23:G33" si="1">(($D$14/100)*$D$16)*D23</f>
        <v>485.38522429739368</v>
      </c>
      <c r="H23" s="93">
        <f t="shared" ref="H23:H33" si="2">(($D$15/100)*$D$16)*D23</f>
        <v>226.00321218765612</v>
      </c>
      <c r="I23" s="93">
        <f t="shared" ref="I23:I33" si="3">SUM(E23:H23)</f>
        <v>732.28843648504971</v>
      </c>
      <c r="J23" s="116">
        <f t="shared" ref="J23:J33" si="4">1.23*I23</f>
        <v>900.71477687661115</v>
      </c>
      <c r="K23" s="103" t="s">
        <v>88</v>
      </c>
      <c r="M23" s="64"/>
      <c r="N23" s="64"/>
      <c r="O23" s="64"/>
      <c r="P23" s="111"/>
      <c r="Q23" s="111"/>
      <c r="R23" s="111"/>
      <c r="S23" s="111"/>
      <c r="T23" s="111"/>
      <c r="U23" s="111"/>
    </row>
    <row r="24" spans="2:21">
      <c r="B24" s="103" t="s">
        <v>89</v>
      </c>
      <c r="C24" s="124">
        <v>0.13</v>
      </c>
      <c r="D24" s="127">
        <f t="shared" si="0"/>
        <v>327.44661764705887</v>
      </c>
      <c r="E24" s="154">
        <f>D12</f>
        <v>5.5</v>
      </c>
      <c r="F24" s="91">
        <f>D13</f>
        <v>15.4</v>
      </c>
      <c r="G24" s="92">
        <f t="shared" si="1"/>
        <v>394.37549474163239</v>
      </c>
      <c r="H24" s="93">
        <f t="shared" si="2"/>
        <v>183.62760990247062</v>
      </c>
      <c r="I24" s="93">
        <f t="shared" si="3"/>
        <v>598.903104644103</v>
      </c>
      <c r="J24" s="116">
        <f t="shared" si="4"/>
        <v>736.65081871224663</v>
      </c>
      <c r="K24" s="103" t="s">
        <v>89</v>
      </c>
      <c r="M24" s="64"/>
      <c r="N24" s="64"/>
      <c r="O24" s="64"/>
      <c r="P24" s="64"/>
      <c r="Q24" s="64"/>
      <c r="R24" s="64"/>
      <c r="S24" s="64"/>
      <c r="T24" s="64"/>
      <c r="U24" s="64"/>
    </row>
    <row r="25" spans="2:21">
      <c r="B25" s="103" t="s">
        <v>90</v>
      </c>
      <c r="C25" s="124">
        <v>0.06</v>
      </c>
      <c r="D25" s="127">
        <f t="shared" si="0"/>
        <v>151.12920814479637</v>
      </c>
      <c r="E25" s="154">
        <f>D12</f>
        <v>5.5</v>
      </c>
      <c r="F25" s="91">
        <f>D13</f>
        <v>15.4</v>
      </c>
      <c r="G25" s="92">
        <f t="shared" si="1"/>
        <v>182.01945911152259</v>
      </c>
      <c r="H25" s="93">
        <f t="shared" si="2"/>
        <v>84.75120457037103</v>
      </c>
      <c r="I25" s="93">
        <f t="shared" si="3"/>
        <v>287.67066368189364</v>
      </c>
      <c r="J25" s="116">
        <f t="shared" si="4"/>
        <v>353.83491632872915</v>
      </c>
      <c r="K25" s="103" t="s">
        <v>90</v>
      </c>
      <c r="M25" s="76"/>
      <c r="N25" s="64"/>
      <c r="O25" s="64"/>
      <c r="P25" s="64"/>
      <c r="Q25" s="64"/>
      <c r="R25" s="64"/>
      <c r="S25" s="64"/>
      <c r="T25" s="64"/>
      <c r="U25" s="64"/>
    </row>
    <row r="26" spans="2:21">
      <c r="B26" s="103" t="s">
        <v>91</v>
      </c>
      <c r="C26" s="124">
        <v>0.03</v>
      </c>
      <c r="D26" s="127">
        <f t="shared" si="0"/>
        <v>75.564604072398183</v>
      </c>
      <c r="E26" s="154">
        <f>D12</f>
        <v>5.5</v>
      </c>
      <c r="F26" s="91">
        <f>D13</f>
        <v>15.4</v>
      </c>
      <c r="G26" s="92">
        <f t="shared" si="1"/>
        <v>91.009729555761297</v>
      </c>
      <c r="H26" s="93">
        <f t="shared" si="2"/>
        <v>42.375602285185515</v>
      </c>
      <c r="I26" s="93">
        <f t="shared" si="3"/>
        <v>154.28533184094681</v>
      </c>
      <c r="J26" s="116">
        <f t="shared" si="4"/>
        <v>189.77095816436457</v>
      </c>
      <c r="K26" s="103" t="s">
        <v>91</v>
      </c>
      <c r="M26" s="64"/>
      <c r="N26" s="64"/>
      <c r="O26" s="64"/>
      <c r="P26" s="145"/>
      <c r="Q26" s="145"/>
      <c r="R26" s="145"/>
      <c r="S26" s="145"/>
      <c r="T26" s="145"/>
      <c r="U26" s="145"/>
    </row>
    <row r="27" spans="2:21">
      <c r="B27" s="103" t="s">
        <v>92</v>
      </c>
      <c r="C27" s="124">
        <v>0.01</v>
      </c>
      <c r="D27" s="127">
        <f t="shared" si="0"/>
        <v>25.188201357466063</v>
      </c>
      <c r="E27" s="154">
        <f>D12</f>
        <v>5.5</v>
      </c>
      <c r="F27" s="91">
        <f>D13</f>
        <v>15.4</v>
      </c>
      <c r="G27" s="92">
        <f t="shared" si="1"/>
        <v>30.336576518587105</v>
      </c>
      <c r="H27" s="93">
        <f t="shared" si="2"/>
        <v>14.125200761728507</v>
      </c>
      <c r="I27" s="93">
        <f t="shared" si="3"/>
        <v>65.361777280315607</v>
      </c>
      <c r="J27" s="116">
        <f t="shared" si="4"/>
        <v>80.394986054788191</v>
      </c>
      <c r="K27" s="103" t="s">
        <v>92</v>
      </c>
      <c r="M27" s="64"/>
      <c r="N27" s="64"/>
      <c r="O27" s="64"/>
      <c r="P27" s="92"/>
      <c r="Q27" s="92"/>
      <c r="R27" s="92"/>
      <c r="S27" s="92"/>
      <c r="T27" s="92"/>
      <c r="U27" s="92"/>
    </row>
    <row r="28" spans="2:21">
      <c r="B28" s="103" t="s">
        <v>93</v>
      </c>
      <c r="C28" s="124">
        <v>0.01</v>
      </c>
      <c r="D28" s="127">
        <f t="shared" si="0"/>
        <v>25.188201357466063</v>
      </c>
      <c r="E28" s="154">
        <f>D12</f>
        <v>5.5</v>
      </c>
      <c r="F28" s="91">
        <f>D13</f>
        <v>15.4</v>
      </c>
      <c r="G28" s="92">
        <f t="shared" si="1"/>
        <v>30.336576518587105</v>
      </c>
      <c r="H28" s="93">
        <f t="shared" si="2"/>
        <v>14.125200761728507</v>
      </c>
      <c r="I28" s="93">
        <f t="shared" si="3"/>
        <v>65.361777280315607</v>
      </c>
      <c r="J28" s="116">
        <f t="shared" si="4"/>
        <v>80.394986054788191</v>
      </c>
      <c r="K28" s="103" t="s">
        <v>93</v>
      </c>
      <c r="M28" s="64"/>
      <c r="N28" s="64"/>
      <c r="O28" s="64"/>
      <c r="P28" s="92"/>
      <c r="Q28" s="92"/>
      <c r="R28" s="92"/>
      <c r="S28" s="92"/>
      <c r="T28" s="92"/>
      <c r="U28" s="92"/>
    </row>
    <row r="29" spans="2:21">
      <c r="B29" s="103" t="s">
        <v>94</v>
      </c>
      <c r="C29" s="124">
        <v>0.01</v>
      </c>
      <c r="D29" s="127">
        <f t="shared" si="0"/>
        <v>25.188201357466063</v>
      </c>
      <c r="E29" s="154">
        <f>D12</f>
        <v>5.5</v>
      </c>
      <c r="F29" s="91">
        <f>D13</f>
        <v>15.4</v>
      </c>
      <c r="G29" s="92">
        <f t="shared" si="1"/>
        <v>30.336576518587105</v>
      </c>
      <c r="H29" s="93">
        <f t="shared" si="2"/>
        <v>14.125200761728507</v>
      </c>
      <c r="I29" s="93">
        <f t="shared" si="3"/>
        <v>65.361777280315607</v>
      </c>
      <c r="J29" s="116">
        <f t="shared" si="4"/>
        <v>80.394986054788191</v>
      </c>
      <c r="K29" s="103" t="s">
        <v>94</v>
      </c>
      <c r="M29" s="64"/>
      <c r="N29" s="64"/>
      <c r="O29" s="64"/>
      <c r="P29" s="111"/>
      <c r="Q29" s="111"/>
      <c r="R29" s="111"/>
      <c r="S29" s="111"/>
      <c r="T29" s="111"/>
      <c r="U29" s="111"/>
    </row>
    <row r="30" spans="2:21">
      <c r="B30" s="103" t="s">
        <v>95</v>
      </c>
      <c r="C30" s="124">
        <v>0.02</v>
      </c>
      <c r="D30" s="127">
        <f t="shared" si="0"/>
        <v>50.376402714932127</v>
      </c>
      <c r="E30" s="154">
        <f>D12</f>
        <v>5.5</v>
      </c>
      <c r="F30" s="91">
        <f>D13</f>
        <v>15.4</v>
      </c>
      <c r="G30" s="92">
        <f t="shared" si="1"/>
        <v>60.67315303717421</v>
      </c>
      <c r="H30" s="93">
        <f t="shared" si="2"/>
        <v>28.250401523457015</v>
      </c>
      <c r="I30" s="93">
        <f t="shared" si="3"/>
        <v>109.82355456063122</v>
      </c>
      <c r="J30" s="116">
        <f t="shared" si="4"/>
        <v>135.08297210957639</v>
      </c>
      <c r="K30" s="103" t="s">
        <v>95</v>
      </c>
      <c r="M30" s="64"/>
      <c r="N30" s="64"/>
      <c r="O30" s="64"/>
      <c r="P30" s="111"/>
      <c r="Q30" s="111"/>
      <c r="R30" s="111"/>
      <c r="S30" s="111"/>
      <c r="T30" s="111"/>
      <c r="U30" s="111"/>
    </row>
    <row r="31" spans="2:21">
      <c r="B31" s="103" t="s">
        <v>98</v>
      </c>
      <c r="C31" s="124">
        <v>0.08</v>
      </c>
      <c r="D31" s="127">
        <f t="shared" si="0"/>
        <v>201.50561085972851</v>
      </c>
      <c r="E31" s="154">
        <f>D12</f>
        <v>5.5</v>
      </c>
      <c r="F31" s="91">
        <f>D13</f>
        <v>15.4</v>
      </c>
      <c r="G31" s="92">
        <f t="shared" si="1"/>
        <v>242.69261214869684</v>
      </c>
      <c r="H31" s="93">
        <f t="shared" si="2"/>
        <v>113.00160609382806</v>
      </c>
      <c r="I31" s="93">
        <f t="shared" si="3"/>
        <v>376.5942182425249</v>
      </c>
      <c r="J31" s="116">
        <f t="shared" si="4"/>
        <v>463.21088843830563</v>
      </c>
      <c r="K31" s="103" t="s">
        <v>98</v>
      </c>
      <c r="M31" s="64"/>
      <c r="N31" s="64"/>
      <c r="O31" s="64"/>
      <c r="P31" s="64"/>
      <c r="Q31" s="64"/>
      <c r="R31" s="64"/>
      <c r="S31" s="64"/>
      <c r="T31" s="64"/>
      <c r="U31" s="64"/>
    </row>
    <row r="32" spans="2:21">
      <c r="B32" s="103" t="s">
        <v>100</v>
      </c>
      <c r="C32" s="124">
        <v>0.12</v>
      </c>
      <c r="D32" s="127">
        <f t="shared" si="0"/>
        <v>302.25841628959273</v>
      </c>
      <c r="E32" s="154">
        <f>D12</f>
        <v>5.5</v>
      </c>
      <c r="F32" s="91">
        <f>D13</f>
        <v>15.4</v>
      </c>
      <c r="G32" s="92">
        <f t="shared" si="1"/>
        <v>364.03891822304519</v>
      </c>
      <c r="H32" s="93">
        <f t="shared" si="2"/>
        <v>169.50240914074206</v>
      </c>
      <c r="I32" s="93">
        <f t="shared" si="3"/>
        <v>554.4413273637872</v>
      </c>
      <c r="J32" s="116">
        <f t="shared" si="4"/>
        <v>681.96283265745819</v>
      </c>
      <c r="K32" s="103" t="s">
        <v>100</v>
      </c>
      <c r="M32" s="76"/>
      <c r="N32" s="64"/>
      <c r="O32" s="64"/>
      <c r="P32" s="64"/>
      <c r="Q32" s="64"/>
      <c r="R32" s="64"/>
      <c r="S32" s="64"/>
      <c r="T32" s="64"/>
      <c r="U32" s="64"/>
    </row>
    <row r="33" spans="1:21" ht="13.5" thickBot="1">
      <c r="B33" s="104" t="s">
        <v>99</v>
      </c>
      <c r="C33" s="125">
        <v>0.18</v>
      </c>
      <c r="D33" s="128">
        <f t="shared" si="0"/>
        <v>453.38762443438912</v>
      </c>
      <c r="E33" s="155">
        <f>D12</f>
        <v>5.5</v>
      </c>
      <c r="F33" s="85">
        <f>D13</f>
        <v>15.4</v>
      </c>
      <c r="G33" s="94">
        <f t="shared" si="1"/>
        <v>546.05837733456781</v>
      </c>
      <c r="H33" s="95">
        <f t="shared" si="2"/>
        <v>254.25361371111313</v>
      </c>
      <c r="I33" s="95">
        <f t="shared" si="3"/>
        <v>821.21199104568086</v>
      </c>
      <c r="J33" s="117">
        <f t="shared" si="4"/>
        <v>1010.0907489861875</v>
      </c>
      <c r="K33" s="104" t="s">
        <v>99</v>
      </c>
      <c r="M33" s="64"/>
      <c r="N33" s="64"/>
      <c r="O33" s="64"/>
      <c r="P33" s="145"/>
      <c r="Q33" s="145"/>
      <c r="R33" s="145"/>
      <c r="S33" s="145"/>
      <c r="T33" s="145"/>
      <c r="U33" s="145"/>
    </row>
    <row r="34" spans="1:21" ht="13.5" thickBot="1">
      <c r="B34" s="96" t="s">
        <v>110</v>
      </c>
      <c r="C34" s="97">
        <f>SUM(C22:C33)</f>
        <v>1</v>
      </c>
      <c r="D34" s="99">
        <f>SUM(D22:D33)</f>
        <v>2518.8201357466064</v>
      </c>
      <c r="E34" s="146"/>
      <c r="F34" s="146"/>
      <c r="G34" s="146"/>
      <c r="H34" s="146"/>
      <c r="I34" s="98"/>
      <c r="J34" s="118">
        <f>SUM(J22:J33)</f>
        <v>5777.2826054788193</v>
      </c>
      <c r="K34" s="122"/>
      <c r="L34" s="74"/>
      <c r="M34" s="64"/>
      <c r="N34" s="64"/>
      <c r="O34" s="64"/>
      <c r="P34" s="92"/>
      <c r="Q34" s="92"/>
      <c r="R34" s="92"/>
      <c r="S34" s="92"/>
      <c r="T34" s="92"/>
      <c r="U34" s="92"/>
    </row>
    <row r="35" spans="1:21" ht="13.5" thickBot="1">
      <c r="G35" s="96" t="s">
        <v>109</v>
      </c>
      <c r="H35" s="98"/>
      <c r="I35" s="98"/>
      <c r="J35" s="114">
        <f>J34/D34</f>
        <v>2.2936463479423348</v>
      </c>
      <c r="K35" s="122"/>
      <c r="M35" s="64"/>
      <c r="N35" s="64"/>
      <c r="O35" s="64"/>
      <c r="P35" s="92"/>
      <c r="Q35" s="92"/>
      <c r="R35" s="92"/>
      <c r="S35" s="92"/>
      <c r="T35" s="92"/>
      <c r="U35" s="92"/>
    </row>
    <row r="36" spans="1:21">
      <c r="M36" s="64"/>
      <c r="N36" s="64"/>
      <c r="O36" s="64"/>
      <c r="P36" s="111"/>
      <c r="Q36" s="111"/>
      <c r="R36" s="111"/>
      <c r="S36" s="111"/>
      <c r="T36" s="111"/>
      <c r="U36" s="111"/>
    </row>
    <row r="37" spans="1:21">
      <c r="B37" s="74"/>
      <c r="M37" s="64"/>
      <c r="N37" s="64"/>
      <c r="O37" s="64"/>
      <c r="P37" s="111"/>
      <c r="Q37" s="111"/>
      <c r="R37" s="111"/>
      <c r="S37" s="111"/>
      <c r="T37" s="111"/>
      <c r="U37" s="111"/>
    </row>
    <row r="38" spans="1:21"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5.75">
      <c r="B39" s="106" t="s">
        <v>85</v>
      </c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5.75">
      <c r="B40" s="106"/>
      <c r="M40" s="76"/>
      <c r="N40" s="64"/>
      <c r="O40" s="64"/>
      <c r="P40" s="64"/>
      <c r="Q40" s="64"/>
      <c r="R40" s="64"/>
      <c r="S40" s="64"/>
      <c r="T40" s="64"/>
      <c r="U40" s="64"/>
    </row>
    <row r="41" spans="1:21">
      <c r="M41" s="64"/>
      <c r="N41" s="64"/>
      <c r="O41" s="64"/>
      <c r="P41" s="145"/>
      <c r="Q41" s="145"/>
      <c r="R41" s="145"/>
      <c r="S41" s="145"/>
      <c r="T41" s="145"/>
      <c r="U41" s="145"/>
    </row>
    <row r="42" spans="1:21">
      <c r="B42" s="74"/>
      <c r="M42" s="64"/>
      <c r="N42" s="64"/>
      <c r="O42" s="64"/>
      <c r="P42" s="92"/>
      <c r="Q42" s="92"/>
      <c r="R42" s="92"/>
      <c r="S42" s="92"/>
      <c r="T42" s="92"/>
      <c r="U42" s="92"/>
    </row>
    <row r="43" spans="1:21">
      <c r="M43" s="64"/>
      <c r="N43" s="64"/>
      <c r="O43" s="64"/>
      <c r="P43" s="92"/>
      <c r="Q43" s="92"/>
      <c r="R43" s="92"/>
      <c r="S43" s="92"/>
      <c r="T43" s="92"/>
      <c r="U43" s="92"/>
    </row>
    <row r="44" spans="1:21">
      <c r="B44" s="74"/>
      <c r="M44" s="64"/>
      <c r="N44" s="64"/>
      <c r="O44" s="64"/>
      <c r="P44" s="111"/>
      <c r="Q44" s="111"/>
      <c r="R44" s="111"/>
      <c r="S44" s="111"/>
      <c r="T44" s="111"/>
      <c r="U44" s="111"/>
    </row>
    <row r="45" spans="1:21">
      <c r="A45" s="64"/>
      <c r="B45" s="64"/>
      <c r="C45" s="64"/>
      <c r="D45" s="90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111"/>
      <c r="Q45" s="111"/>
      <c r="R45" s="111"/>
      <c r="S45" s="111"/>
      <c r="T45" s="111"/>
      <c r="U45" s="111"/>
    </row>
    <row r="46" spans="1:21">
      <c r="A46" s="64"/>
      <c r="B46" s="64"/>
      <c r="C46" s="64"/>
      <c r="D46" s="90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>
      <c r="A47" s="64"/>
      <c r="B47" s="64"/>
      <c r="C47" s="64"/>
      <c r="D47" s="90"/>
      <c r="E47" s="64"/>
      <c r="F47" s="110"/>
      <c r="G47" s="110"/>
      <c r="H47" s="110"/>
      <c r="I47" s="110"/>
      <c r="J47" s="110"/>
      <c r="K47" s="110"/>
      <c r="L47" s="110"/>
      <c r="M47" s="76"/>
      <c r="N47" s="64"/>
      <c r="O47" s="64"/>
      <c r="P47" s="64"/>
      <c r="Q47" s="64"/>
      <c r="R47" s="64"/>
      <c r="S47" s="64"/>
      <c r="T47" s="64"/>
      <c r="U47" s="64"/>
    </row>
    <row r="48" spans="1:21">
      <c r="A48" s="64"/>
      <c r="B48" s="64"/>
      <c r="C48" s="64"/>
      <c r="D48" s="90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145"/>
      <c r="Q48" s="145"/>
      <c r="R48" s="145"/>
      <c r="S48" s="145"/>
      <c r="T48" s="145"/>
      <c r="U48" s="145"/>
    </row>
    <row r="49" spans="1:21">
      <c r="A49" s="64"/>
      <c r="B49" s="76"/>
      <c r="C49" s="64"/>
      <c r="D49" s="64"/>
      <c r="E49" s="64"/>
      <c r="F49" s="107"/>
      <c r="G49" s="107"/>
      <c r="H49" s="107"/>
      <c r="I49" s="107"/>
      <c r="J49" s="107"/>
      <c r="K49" s="107"/>
      <c r="L49" s="107"/>
      <c r="M49" s="64"/>
      <c r="N49" s="64"/>
      <c r="O49" s="64"/>
      <c r="P49" s="92"/>
      <c r="Q49" s="92"/>
      <c r="R49" s="92"/>
      <c r="S49" s="92"/>
      <c r="T49" s="92"/>
      <c r="U49" s="92"/>
    </row>
    <row r="50" spans="1:21">
      <c r="A50" s="64"/>
      <c r="B50" s="108"/>
      <c r="C50" s="64"/>
      <c r="D50" s="64"/>
      <c r="E50" s="64"/>
      <c r="F50" s="109"/>
      <c r="G50" s="109"/>
      <c r="H50" s="109"/>
      <c r="I50" s="109"/>
      <c r="J50" s="109"/>
      <c r="K50" s="109"/>
      <c r="L50" s="109"/>
      <c r="M50" s="64"/>
      <c r="N50" s="64"/>
      <c r="O50" s="64"/>
      <c r="P50" s="92"/>
      <c r="Q50" s="92"/>
      <c r="R50" s="92"/>
      <c r="S50" s="92"/>
      <c r="T50" s="92"/>
      <c r="U50" s="92"/>
    </row>
    <row r="51" spans="1:21">
      <c r="M51" s="64"/>
      <c r="N51" s="64"/>
      <c r="O51" s="64"/>
      <c r="P51" s="111"/>
      <c r="Q51" s="111"/>
      <c r="R51" s="111"/>
      <c r="S51" s="111"/>
      <c r="T51" s="111"/>
      <c r="U51" s="111"/>
    </row>
    <row r="52" spans="1:21">
      <c r="M52" s="64"/>
      <c r="N52" s="64"/>
      <c r="O52" s="64"/>
      <c r="P52" s="111"/>
      <c r="Q52" s="111"/>
      <c r="R52" s="111"/>
      <c r="S52" s="111"/>
      <c r="T52" s="111"/>
      <c r="U52" s="111"/>
    </row>
    <row r="53" spans="1:21">
      <c r="A53" s="64"/>
      <c r="B53" s="7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>
      <c r="A54" s="64"/>
      <c r="B54" s="64"/>
      <c r="C54" s="64"/>
      <c r="D54" s="90"/>
      <c r="E54" s="64"/>
      <c r="F54" s="64"/>
      <c r="G54" s="64"/>
      <c r="H54" s="64"/>
      <c r="I54" s="64"/>
      <c r="J54" s="64"/>
      <c r="K54" s="64"/>
      <c r="L54" s="64"/>
      <c r="M54" s="76"/>
      <c r="N54" s="64"/>
      <c r="O54" s="64"/>
      <c r="P54" s="64"/>
      <c r="Q54" s="64"/>
      <c r="R54" s="64"/>
      <c r="S54" s="64"/>
      <c r="T54" s="64"/>
      <c r="U54" s="64"/>
    </row>
    <row r="55" spans="1:21">
      <c r="A55" s="64"/>
      <c r="B55" s="64"/>
      <c r="C55" s="64"/>
      <c r="D55" s="90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145"/>
      <c r="Q55" s="145"/>
      <c r="R55" s="145"/>
      <c r="S55" s="145"/>
      <c r="T55" s="145"/>
      <c r="U55" s="145"/>
    </row>
    <row r="56" spans="1:21">
      <c r="A56" s="64"/>
      <c r="B56" s="64"/>
      <c r="C56" s="64"/>
      <c r="D56" s="90"/>
      <c r="E56" s="64"/>
      <c r="F56" s="110"/>
      <c r="G56" s="110"/>
      <c r="H56" s="110"/>
      <c r="I56" s="110"/>
      <c r="J56" s="110"/>
      <c r="K56" s="110"/>
      <c r="L56" s="110"/>
      <c r="M56" s="64"/>
      <c r="N56" s="64"/>
      <c r="O56" s="64"/>
      <c r="P56" s="92"/>
      <c r="Q56" s="92"/>
      <c r="R56" s="92"/>
      <c r="S56" s="92"/>
      <c r="T56" s="92"/>
      <c r="U56" s="92"/>
    </row>
    <row r="57" spans="1:21">
      <c r="A57" s="64"/>
      <c r="B57" s="64"/>
      <c r="C57" s="64"/>
      <c r="D57" s="90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92"/>
      <c r="Q57" s="92"/>
      <c r="R57" s="92"/>
      <c r="S57" s="92"/>
      <c r="T57" s="92"/>
      <c r="U57" s="92"/>
    </row>
    <row r="58" spans="1:21">
      <c r="A58" s="64"/>
      <c r="B58" s="76"/>
      <c r="C58" s="64"/>
      <c r="D58" s="64"/>
      <c r="E58" s="64"/>
      <c r="F58" s="107"/>
      <c r="G58" s="107"/>
      <c r="H58" s="107"/>
      <c r="I58" s="107"/>
      <c r="J58" s="107"/>
      <c r="K58" s="107"/>
      <c r="L58" s="107"/>
      <c r="M58" s="64"/>
      <c r="N58" s="64"/>
      <c r="O58" s="64"/>
      <c r="P58" s="111"/>
      <c r="Q58" s="111"/>
      <c r="R58" s="111"/>
      <c r="S58" s="111"/>
      <c r="T58" s="111"/>
      <c r="U58" s="111"/>
    </row>
    <row r="59" spans="1:21">
      <c r="A59" s="64"/>
      <c r="B59" s="108"/>
      <c r="C59" s="64"/>
      <c r="D59" s="64"/>
      <c r="E59" s="64"/>
      <c r="F59" s="109"/>
      <c r="G59" s="109"/>
      <c r="H59" s="109"/>
      <c r="I59" s="109"/>
      <c r="J59" s="109"/>
      <c r="K59" s="109"/>
      <c r="L59" s="109"/>
      <c r="M59" s="64"/>
      <c r="N59" s="64"/>
      <c r="O59" s="64"/>
      <c r="P59" s="111"/>
      <c r="Q59" s="111"/>
      <c r="R59" s="111"/>
      <c r="S59" s="111"/>
      <c r="T59" s="111"/>
      <c r="U59" s="111"/>
    </row>
    <row r="60" spans="1:2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92"/>
      <c r="Q60" s="92"/>
      <c r="R60" s="92"/>
      <c r="S60" s="92"/>
      <c r="T60" s="92"/>
      <c r="U60" s="92"/>
    </row>
    <row r="61" spans="1:21">
      <c r="A61" s="64"/>
      <c r="B61" s="76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92"/>
      <c r="Q61" s="92"/>
      <c r="R61" s="92"/>
      <c r="S61" s="92"/>
      <c r="T61" s="92"/>
      <c r="U61" s="92"/>
    </row>
    <row r="62" spans="1:21">
      <c r="A62" s="64"/>
      <c r="B62" s="64"/>
      <c r="C62" s="64"/>
      <c r="D62" s="90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111"/>
      <c r="Q62" s="111"/>
      <c r="R62" s="111"/>
      <c r="S62" s="111"/>
      <c r="T62" s="111"/>
      <c r="U62" s="111"/>
    </row>
    <row r="63" spans="1:21">
      <c r="A63" s="64"/>
      <c r="B63" s="64"/>
      <c r="C63" s="64"/>
      <c r="D63" s="90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111"/>
      <c r="Q63" s="111"/>
      <c r="R63" s="111"/>
      <c r="S63" s="111"/>
      <c r="T63" s="111"/>
      <c r="U63" s="111"/>
    </row>
    <row r="64" spans="1:21">
      <c r="M64" s="107"/>
      <c r="N64" s="107"/>
      <c r="O64" s="107"/>
      <c r="P64" s="64"/>
      <c r="Q64" s="64"/>
    </row>
    <row r="65" spans="2:17">
      <c r="M65" s="109"/>
      <c r="N65" s="109"/>
      <c r="O65" s="109"/>
      <c r="P65" s="64"/>
      <c r="Q65" s="64"/>
    </row>
    <row r="71" spans="2:17">
      <c r="B71" s="71"/>
      <c r="C71" s="3"/>
    </row>
    <row r="72" spans="2:17">
      <c r="B72" s="3"/>
      <c r="C72" s="3"/>
    </row>
  </sheetData>
  <pageMargins left="0.7" right="0.5" top="0.41" bottom="1.1399999999999999" header="0.41" footer="0.59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Koszty ogrzewania</vt:lpstr>
      <vt:lpstr>Symulator - gaz ziemny</vt:lpstr>
      <vt:lpstr>Wykres - Koszty ogrzewania</vt:lpstr>
      <vt:lpstr>Wykres - Cena 1 kWh</vt:lpstr>
      <vt:lpstr>'Koszty ogrzewania'!Obszar_wydruku</vt:lpstr>
      <vt:lpstr>'Symulator - gaz ziemny'!Obszar_wydruku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2016-09-05T07:25:56Z</dcterms:modified>
</cp:coreProperties>
</file>